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Ex3.xml" ContentType="application/vnd.ms-office.chartex+xml"/>
  <Override PartName="/xl/charts/style3.xml" ContentType="application/vnd.ms-office.chartstyle+xml"/>
  <Override PartName="/xl/charts/colors3.xml" ContentType="application/vnd.ms-office.chartcolorstyle+xml"/>
  <Override PartName="/xl/charts/chartEx4.xml" ContentType="application/vnd.ms-office.chartex+xml"/>
  <Override PartName="/xl/charts/style4.xml" ContentType="application/vnd.ms-office.chartstyle+xml"/>
  <Override PartName="/xl/charts/colors4.xml" ContentType="application/vnd.ms-office.chartcolorstyle+xml"/>
  <Override PartName="/xl/charts/chart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0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1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2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3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6.xml" ContentType="application/vnd.openxmlformats-officedocument.drawing+xml"/>
  <Override PartName="/xl/charts/chart14.xml" ContentType="application/vnd.openxmlformats-officedocument.drawingml.chart+xml"/>
  <Override PartName="/xl/drawings/drawing7.xml" ContentType="application/vnd.openxmlformats-officedocument.drawing+xml"/>
  <Override PartName="/xl/charts/chart1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lj-my.sharepoint.com/personal/ales_toman_ef1_uni-lj_si/Documents/FMF seminar za učitelje/Delavnica/"/>
    </mc:Choice>
  </mc:AlternateContent>
  <xr:revisionPtr revIDLastSave="439" documentId="8_{E8E6235A-C5D7-41EB-A9D0-A64CFE5C075E}" xr6:coauthVersionLast="47" xr6:coauthVersionMax="47" xr10:uidLastSave="{B3371539-D4B9-4D7E-8CA6-291FADF64DF9}"/>
  <bookViews>
    <workbookView xWindow="-108" yWindow="-108" windowWidth="23256" windowHeight="12456" xr2:uid="{FE264EE4-9C23-4448-9D5A-852F59B1B97D}"/>
  </bookViews>
  <sheets>
    <sheet name="podatki" sheetId="1" r:id="rId1"/>
    <sheet name="analiza" sheetId="2" r:id="rId2"/>
    <sheet name="b)" sheetId="3" r:id="rId3"/>
    <sheet name="c)" sheetId="4" r:id="rId4"/>
    <sheet name="d)+e)" sheetId="5" r:id="rId5"/>
    <sheet name="f)" sheetId="6" r:id="rId6"/>
    <sheet name="g)" sheetId="7" r:id="rId7"/>
    <sheet name="h)" sheetId="8" r:id="rId8"/>
    <sheet name="i)" sheetId="9" r:id="rId9"/>
  </sheets>
  <definedNames>
    <definedName name="_xlchart.v1.0" hidden="1">'d)+e)'!$B$19</definedName>
    <definedName name="_xlchart.v1.1" hidden="1">'d)+e)'!$B$20</definedName>
    <definedName name="_xlchart.v1.10" hidden="1">analiza!$F$38:$F$190</definedName>
    <definedName name="_xlchart.v1.11" hidden="1">analiza!$G$38:$G$190</definedName>
    <definedName name="_xlchart.v1.12" hidden="1">analiza!$F$2:$F$190</definedName>
    <definedName name="_xlchart.v1.13" hidden="1">analiza!$G$2:$G$190</definedName>
    <definedName name="_xlchart.v1.2" hidden="1">analiza!$F$38:$F$190</definedName>
    <definedName name="_xlchart.v1.3" hidden="1">analiza!$G$38:$G$190</definedName>
    <definedName name="_xlchart.v1.4" hidden="1">'d)+e)'!$B$19</definedName>
    <definedName name="_xlchart.v1.5" hidden="1">'d)+e)'!$B$20</definedName>
    <definedName name="_xlchart.v1.6" hidden="1">analiza!$F$2:$F$190</definedName>
    <definedName name="_xlchart.v1.7" hidden="1">analiza!$G$2:$G$190</definedName>
    <definedName name="_xlchart.v1.8" hidden="1">'d)+e)'!$B$19</definedName>
    <definedName name="_xlchart.v1.9" hidden="1">'d)+e)'!$B$20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0" i="9" l="1"/>
  <c r="C27" i="8" l="1"/>
  <c r="C20" i="5"/>
  <c r="C19" i="5"/>
  <c r="D22" i="8"/>
  <c r="C22" i="8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D16" i="5"/>
  <c r="C16" i="5"/>
  <c r="D6" i="5"/>
  <c r="F189" i="2"/>
  <c r="G2" i="2"/>
  <c r="L4" i="6" s="1"/>
  <c r="G3" i="2"/>
  <c r="C12" i="5" s="1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F2" i="2"/>
  <c r="D15" i="5" s="1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B24" i="7" s="1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E2" i="2"/>
  <c r="D33" i="7" s="1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29" i="7" s="1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D2" i="2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C11" i="5" l="1"/>
  <c r="M4" i="6"/>
  <c r="N4" i="6" s="1"/>
  <c r="L8" i="6" s="1"/>
  <c r="D28" i="7"/>
  <c r="D32" i="7"/>
  <c r="E36" i="7"/>
  <c r="D39" i="7"/>
  <c r="D31" i="7"/>
  <c r="E35" i="7"/>
  <c r="E16" i="5"/>
  <c r="D38" i="7"/>
  <c r="D30" i="7"/>
  <c r="E34" i="7"/>
  <c r="D37" i="7"/>
  <c r="D29" i="7"/>
  <c r="E33" i="7"/>
  <c r="D36" i="7"/>
  <c r="E28" i="7"/>
  <c r="E32" i="7"/>
  <c r="D5" i="5"/>
  <c r="D11" i="5"/>
  <c r="E11" i="5" s="1"/>
  <c r="D12" i="5"/>
  <c r="E12" i="5" s="1"/>
  <c r="C5" i="5"/>
  <c r="C6" i="5"/>
  <c r="L3" i="6"/>
  <c r="D35" i="7"/>
  <c r="E39" i="7"/>
  <c r="E31" i="7"/>
  <c r="C15" i="5"/>
  <c r="E15" i="5" s="1"/>
  <c r="M3" i="6"/>
  <c r="D34" i="7"/>
  <c r="E38" i="7"/>
  <c r="E30" i="7"/>
  <c r="E37" i="7"/>
  <c r="M8" i="6" l="1"/>
  <c r="N3" i="6"/>
  <c r="L7" i="6" s="1"/>
  <c r="M7" i="6"/>
</calcChain>
</file>

<file path=xl/sharedStrings.xml><?xml version="1.0" encoding="utf-8"?>
<sst xmlns="http://schemas.openxmlformats.org/spreadsheetml/2006/main" count="69" uniqueCount="48">
  <si>
    <t>Datum</t>
  </si>
  <si>
    <t>Delnice</t>
  </si>
  <si>
    <t>Obveznice</t>
  </si>
  <si>
    <t>Zlato</t>
  </si>
  <si>
    <t>IndeksCen</t>
  </si>
  <si>
    <t>MenjalniTecaj</t>
  </si>
  <si>
    <t>Kriptovalute</t>
  </si>
  <si>
    <t>Leto</t>
  </si>
  <si>
    <t>Mesec</t>
  </si>
  <si>
    <t>DonosnostZlato</t>
  </si>
  <si>
    <t>DonosnostKripto</t>
  </si>
  <si>
    <t>Donosnost zlata</t>
  </si>
  <si>
    <t>Aritmetična sredina</t>
  </si>
  <si>
    <t>Mediana</t>
  </si>
  <si>
    <t>Srednje vrednosti</t>
  </si>
  <si>
    <t>Razpršenost</t>
  </si>
  <si>
    <t>Minimum</t>
  </si>
  <si>
    <t>Maksimum</t>
  </si>
  <si>
    <t>Donosnost bitcoina</t>
  </si>
  <si>
    <t>Prvi kvartil</t>
  </si>
  <si>
    <t>Tretji kvartil</t>
  </si>
  <si>
    <t>Standardni odklon</t>
  </si>
  <si>
    <t>Variacijski razmik</t>
  </si>
  <si>
    <t>Medčetrtinski razmik</t>
  </si>
  <si>
    <t>Število pozitivnih</t>
  </si>
  <si>
    <t>Število negativnih</t>
  </si>
  <si>
    <t>Skupaj</t>
  </si>
  <si>
    <t>Delež pozitivnih</t>
  </si>
  <si>
    <t>Delež negativnih</t>
  </si>
  <si>
    <t>Pearsonov korelacijski koeficient</t>
  </si>
  <si>
    <t>Številka</t>
  </si>
  <si>
    <t>Januar</t>
  </si>
  <si>
    <t>Februar</t>
  </si>
  <si>
    <t>Marec</t>
  </si>
  <si>
    <t>April</t>
  </si>
  <si>
    <t>Maj</t>
  </si>
  <si>
    <t>Junij</t>
  </si>
  <si>
    <t>Julij</t>
  </si>
  <si>
    <t>Avgust</t>
  </si>
  <si>
    <t>September</t>
  </si>
  <si>
    <t>Oktober</t>
  </si>
  <si>
    <t>November</t>
  </si>
  <si>
    <t>December</t>
  </si>
  <si>
    <t>Povprečna donosnost</t>
  </si>
  <si>
    <t>Bitcoin (od januarja 2014 dalje)</t>
  </si>
  <si>
    <t>Portfelj50_50</t>
  </si>
  <si>
    <t>Končna vrednost</t>
  </si>
  <si>
    <t>Napoved z linearnim modelom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</si>
</sst>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#,##0.0000"/>
    <numFmt numFmtId="166" formatCode="0.000%"/>
    <numFmt numFmtId="167" formatCode="[$$-409]#,##0.00"/>
    <numFmt numFmtId="168" formatCode="0.0%"/>
    <numFmt numFmtId="169" formatCode="_-[$$-409]* #,##0.00_ ;_-[$$-409]* \-#,##0.00\ ;_-[$$-409]* &quot;-&quot;??_ ;_-@_ 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80808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14" fontId="9" fillId="0" borderId="0" xfId="0" applyNumberFormat="1" applyFont="1"/>
    <xf numFmtId="167" fontId="9" fillId="0" borderId="0" xfId="0" applyNumberFormat="1" applyFont="1"/>
    <xf numFmtId="0" fontId="5" fillId="0" borderId="0" xfId="0" applyNumberFormat="1" applyFont="1"/>
    <xf numFmtId="10" fontId="4" fillId="0" borderId="0" xfId="1" applyNumberFormat="1" applyFont="1"/>
    <xf numFmtId="4" fontId="9" fillId="0" borderId="0" xfId="0" applyNumberFormat="1" applyFont="1"/>
    <xf numFmtId="0" fontId="9" fillId="0" borderId="0" xfId="0" applyFont="1"/>
    <xf numFmtId="167" fontId="9" fillId="0" borderId="0" xfId="0" applyNumberFormat="1" applyFont="1" applyAlignment="1">
      <alignment horizontal="right"/>
    </xf>
    <xf numFmtId="164" fontId="9" fillId="0" borderId="0" xfId="0" applyNumberFormat="1" applyFont="1"/>
    <xf numFmtId="165" fontId="9" fillId="0" borderId="0" xfId="0" applyNumberFormat="1" applyFont="1"/>
    <xf numFmtId="166" fontId="9" fillId="0" borderId="0" xfId="1" applyNumberFormat="1" applyFont="1"/>
    <xf numFmtId="0" fontId="0" fillId="0" borderId="0" xfId="0" applyAlignment="1">
      <alignment horizontal="center"/>
    </xf>
    <xf numFmtId="168" fontId="0" fillId="0" borderId="0" xfId="1" applyNumberFormat="1" applyFont="1"/>
    <xf numFmtId="10" fontId="0" fillId="0" borderId="0" xfId="1" applyNumberFormat="1" applyFont="1"/>
    <xf numFmtId="0" fontId="3" fillId="0" borderId="0" xfId="0" applyFont="1"/>
    <xf numFmtId="10" fontId="0" fillId="0" borderId="0" xfId="0" applyNumberFormat="1"/>
    <xf numFmtId="0" fontId="3" fillId="0" borderId="0" xfId="0" applyFont="1" applyAlignment="1">
      <alignment horizontal="center"/>
    </xf>
    <xf numFmtId="1" fontId="0" fillId="0" borderId="0" xfId="1" applyNumberFormat="1" applyFont="1"/>
    <xf numFmtId="1" fontId="0" fillId="0" borderId="0" xfId="0" applyNumberFormat="1"/>
    <xf numFmtId="0" fontId="11" fillId="0" borderId="0" xfId="0" applyFont="1" applyAlignment="1">
      <alignment horizontal="left"/>
    </xf>
    <xf numFmtId="0" fontId="12" fillId="0" borderId="0" xfId="0" applyFont="1"/>
    <xf numFmtId="167" fontId="12" fillId="0" borderId="0" xfId="0" applyNumberFormat="1" applyFont="1"/>
    <xf numFmtId="169" fontId="0" fillId="0" borderId="0" xfId="1" applyNumberFormat="1" applyFont="1"/>
    <xf numFmtId="169" fontId="0" fillId="0" borderId="0" xfId="0" applyNumberFormat="1"/>
  </cellXfs>
  <cellStyles count="2">
    <cellStyle name="Navadno" xfId="0" builtinId="0"/>
    <cellStyle name="Odstotek" xfId="1" builtinId="5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030A0"/>
        <name val="Calibri"/>
        <family val="2"/>
        <charset val="238"/>
        <scheme val="minor"/>
      </font>
      <numFmt numFmtId="167" formatCode="[$$-409]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Calibri"/>
        <family val="2"/>
        <charset val="238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50"/>
        <name val="Calibri"/>
        <family val="2"/>
        <charset val="238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Calibri"/>
        <family val="2"/>
        <charset val="238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Calibri"/>
        <family val="2"/>
        <charset val="238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167" formatCode="[$$-409]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167" formatCode="[$$-409]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19" formatCode="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165" formatCode="#,##0.0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167" formatCode="[$$-409]#,##0.0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164" formatCode="0.0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167" formatCode="[$$-409]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166" formatCode="0.0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19" formatCode="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/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</dxfs>
  <tableStyles count="0" defaultTableStyle="TableStyleMedium2" defaultPivotStyle="PivotStyleLight16"/>
  <colors>
    <mruColors>
      <color rgb="FF0064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Ex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Ex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l-SI" sz="1200"/>
              <a:t>Cena trojske unče</a:t>
            </a:r>
            <a:r>
              <a:rPr lang="sl-SI" sz="1200" baseline="0"/>
              <a:t> zlata</a:t>
            </a:r>
            <a:endParaRPr lang="sl-SI" sz="1200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rgbClr val="0064C8"/>
              </a:solidFill>
              <a:round/>
            </a:ln>
            <a:effectLst/>
          </c:spPr>
          <c:marker>
            <c:symbol val="none"/>
          </c:marker>
          <c:cat>
            <c:numRef>
              <c:f>analiza!$A$2:$A$190</c:f>
              <c:numCache>
                <c:formatCode>m/d/yyyy</c:formatCode>
                <c:ptCount val="189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  <c:pt idx="144">
                  <c:v>44927</c:v>
                </c:pt>
                <c:pt idx="145">
                  <c:v>44958</c:v>
                </c:pt>
                <c:pt idx="146">
                  <c:v>44986</c:v>
                </c:pt>
                <c:pt idx="147">
                  <c:v>45017</c:v>
                </c:pt>
                <c:pt idx="148">
                  <c:v>45047</c:v>
                </c:pt>
                <c:pt idx="149">
                  <c:v>45078</c:v>
                </c:pt>
                <c:pt idx="150">
                  <c:v>45108</c:v>
                </c:pt>
                <c:pt idx="151">
                  <c:v>45139</c:v>
                </c:pt>
                <c:pt idx="152">
                  <c:v>45170</c:v>
                </c:pt>
                <c:pt idx="153">
                  <c:v>45200</c:v>
                </c:pt>
                <c:pt idx="154">
                  <c:v>45231</c:v>
                </c:pt>
                <c:pt idx="155">
                  <c:v>45261</c:v>
                </c:pt>
                <c:pt idx="156">
                  <c:v>45292</c:v>
                </c:pt>
                <c:pt idx="157">
                  <c:v>45323</c:v>
                </c:pt>
                <c:pt idx="158">
                  <c:v>45352</c:v>
                </c:pt>
                <c:pt idx="159">
                  <c:v>45383</c:v>
                </c:pt>
                <c:pt idx="160">
                  <c:v>45413</c:v>
                </c:pt>
                <c:pt idx="161">
                  <c:v>45444</c:v>
                </c:pt>
                <c:pt idx="162">
                  <c:v>45474</c:v>
                </c:pt>
                <c:pt idx="163">
                  <c:v>45505</c:v>
                </c:pt>
                <c:pt idx="164">
                  <c:v>45536</c:v>
                </c:pt>
                <c:pt idx="165">
                  <c:v>45566</c:v>
                </c:pt>
                <c:pt idx="166">
                  <c:v>45597</c:v>
                </c:pt>
                <c:pt idx="167">
                  <c:v>45627</c:v>
                </c:pt>
                <c:pt idx="168">
                  <c:v>45658</c:v>
                </c:pt>
                <c:pt idx="169">
                  <c:v>45689</c:v>
                </c:pt>
                <c:pt idx="170">
                  <c:v>45717</c:v>
                </c:pt>
                <c:pt idx="171">
                  <c:v>45748</c:v>
                </c:pt>
                <c:pt idx="172">
                  <c:v>45778</c:v>
                </c:pt>
                <c:pt idx="173">
                  <c:v>45809</c:v>
                </c:pt>
                <c:pt idx="174">
                  <c:v>45839</c:v>
                </c:pt>
                <c:pt idx="175">
                  <c:v>45870</c:v>
                </c:pt>
                <c:pt idx="176">
                  <c:v>45901</c:v>
                </c:pt>
                <c:pt idx="177">
                  <c:v>45931</c:v>
                </c:pt>
                <c:pt idx="178">
                  <c:v>45962</c:v>
                </c:pt>
                <c:pt idx="179">
                  <c:v>45992</c:v>
                </c:pt>
                <c:pt idx="180">
                  <c:v>46023</c:v>
                </c:pt>
                <c:pt idx="181">
                  <c:v>46054</c:v>
                </c:pt>
                <c:pt idx="182">
                  <c:v>46082</c:v>
                </c:pt>
                <c:pt idx="183">
                  <c:v>46113</c:v>
                </c:pt>
                <c:pt idx="184">
                  <c:v>46143</c:v>
                </c:pt>
                <c:pt idx="185">
                  <c:v>46174</c:v>
                </c:pt>
                <c:pt idx="186">
                  <c:v>46204</c:v>
                </c:pt>
                <c:pt idx="187">
                  <c:v>46235</c:v>
                </c:pt>
                <c:pt idx="188">
                  <c:v>46266</c:v>
                </c:pt>
              </c:numCache>
            </c:numRef>
          </c:cat>
          <c:val>
            <c:numRef>
              <c:f>analiza!$B$2:$B$190</c:f>
              <c:numCache>
                <c:formatCode>[$$-409]#,##0.00</c:formatCode>
                <c:ptCount val="189"/>
                <c:pt idx="0">
                  <c:v>1332.19</c:v>
                </c:pt>
                <c:pt idx="1">
                  <c:v>1411.65</c:v>
                </c:pt>
                <c:pt idx="2">
                  <c:v>1432</c:v>
                </c:pt>
                <c:pt idx="3">
                  <c:v>1565.6</c:v>
                </c:pt>
                <c:pt idx="4">
                  <c:v>1535.35</c:v>
                </c:pt>
                <c:pt idx="5">
                  <c:v>1500.1</c:v>
                </c:pt>
                <c:pt idx="6">
                  <c:v>1626.64</c:v>
                </c:pt>
                <c:pt idx="7">
                  <c:v>1823.8</c:v>
                </c:pt>
                <c:pt idx="8">
                  <c:v>1623.75</c:v>
                </c:pt>
                <c:pt idx="9">
                  <c:v>1715.25</c:v>
                </c:pt>
                <c:pt idx="10">
                  <c:v>1745.7</c:v>
                </c:pt>
                <c:pt idx="11">
                  <c:v>1564.3</c:v>
                </c:pt>
                <c:pt idx="12">
                  <c:v>1739.43</c:v>
                </c:pt>
                <c:pt idx="13">
                  <c:v>1695.2</c:v>
                </c:pt>
                <c:pt idx="14">
                  <c:v>1668.9</c:v>
                </c:pt>
                <c:pt idx="15">
                  <c:v>1664.36</c:v>
                </c:pt>
                <c:pt idx="16">
                  <c:v>1560.7</c:v>
                </c:pt>
                <c:pt idx="17">
                  <c:v>1598.6</c:v>
                </c:pt>
                <c:pt idx="18">
                  <c:v>1613.9</c:v>
                </c:pt>
                <c:pt idx="19">
                  <c:v>1691.15</c:v>
                </c:pt>
                <c:pt idx="20">
                  <c:v>1771.22</c:v>
                </c:pt>
                <c:pt idx="21">
                  <c:v>1720.55</c:v>
                </c:pt>
                <c:pt idx="22">
                  <c:v>1714.4</c:v>
                </c:pt>
                <c:pt idx="23">
                  <c:v>1674.34</c:v>
                </c:pt>
                <c:pt idx="24">
                  <c:v>1662.99</c:v>
                </c:pt>
                <c:pt idx="25">
                  <c:v>1579.76</c:v>
                </c:pt>
                <c:pt idx="26">
                  <c:v>1596.17</c:v>
                </c:pt>
                <c:pt idx="27">
                  <c:v>1476.6</c:v>
                </c:pt>
                <c:pt idx="28">
                  <c:v>1386.4</c:v>
                </c:pt>
                <c:pt idx="29">
                  <c:v>1233.1400000000001</c:v>
                </c:pt>
                <c:pt idx="30">
                  <c:v>1322.49</c:v>
                </c:pt>
                <c:pt idx="31">
                  <c:v>1395.69</c:v>
                </c:pt>
                <c:pt idx="32">
                  <c:v>1326.94</c:v>
                </c:pt>
                <c:pt idx="33">
                  <c:v>1323.19</c:v>
                </c:pt>
                <c:pt idx="34">
                  <c:v>1251.99</c:v>
                </c:pt>
                <c:pt idx="35">
                  <c:v>1204.94</c:v>
                </c:pt>
                <c:pt idx="36">
                  <c:v>1243.19</c:v>
                </c:pt>
                <c:pt idx="37">
                  <c:v>1325.79</c:v>
                </c:pt>
                <c:pt idx="38">
                  <c:v>1283.6400000000001</c:v>
                </c:pt>
                <c:pt idx="39">
                  <c:v>1291.29</c:v>
                </c:pt>
                <c:pt idx="40">
                  <c:v>1250.69</c:v>
                </c:pt>
                <c:pt idx="41">
                  <c:v>1327.19</c:v>
                </c:pt>
                <c:pt idx="42">
                  <c:v>1282.0899999999999</c:v>
                </c:pt>
                <c:pt idx="43">
                  <c:v>1287.07</c:v>
                </c:pt>
                <c:pt idx="44">
                  <c:v>1208.74</c:v>
                </c:pt>
                <c:pt idx="45">
                  <c:v>1173.92</c:v>
                </c:pt>
                <c:pt idx="46">
                  <c:v>1167.04</c:v>
                </c:pt>
                <c:pt idx="47">
                  <c:v>1183.55</c:v>
                </c:pt>
                <c:pt idx="48">
                  <c:v>1282.8</c:v>
                </c:pt>
                <c:pt idx="49">
                  <c:v>1212.55</c:v>
                </c:pt>
                <c:pt idx="50">
                  <c:v>1183.0999999999999</c:v>
                </c:pt>
                <c:pt idx="51">
                  <c:v>1183.8499999999999</c:v>
                </c:pt>
                <c:pt idx="52">
                  <c:v>1189.75</c:v>
                </c:pt>
                <c:pt idx="53">
                  <c:v>1172.2</c:v>
                </c:pt>
                <c:pt idx="54">
                  <c:v>1095.4000000000001</c:v>
                </c:pt>
                <c:pt idx="55">
                  <c:v>1134.0999999999999</c:v>
                </c:pt>
                <c:pt idx="56">
                  <c:v>1114.5999999999999</c:v>
                </c:pt>
                <c:pt idx="57">
                  <c:v>1142</c:v>
                </c:pt>
                <c:pt idx="58">
                  <c:v>1064.02</c:v>
                </c:pt>
                <c:pt idx="59">
                  <c:v>1060.9100000000001</c:v>
                </c:pt>
                <c:pt idx="60">
                  <c:v>1117.6400000000001</c:v>
                </c:pt>
                <c:pt idx="61">
                  <c:v>1237.76</c:v>
                </c:pt>
                <c:pt idx="62">
                  <c:v>1231.95</c:v>
                </c:pt>
                <c:pt idx="63">
                  <c:v>1293.3599999999999</c:v>
                </c:pt>
                <c:pt idx="64">
                  <c:v>1214.69</c:v>
                </c:pt>
                <c:pt idx="65">
                  <c:v>1321.78</c:v>
                </c:pt>
                <c:pt idx="66">
                  <c:v>1350.59</c:v>
                </c:pt>
                <c:pt idx="67">
                  <c:v>1308.45</c:v>
                </c:pt>
                <c:pt idx="68">
                  <c:v>1315.8</c:v>
                </c:pt>
                <c:pt idx="69">
                  <c:v>1277.28</c:v>
                </c:pt>
                <c:pt idx="70">
                  <c:v>1172.7</c:v>
                </c:pt>
                <c:pt idx="71">
                  <c:v>1151.46</c:v>
                </c:pt>
                <c:pt idx="72">
                  <c:v>1210.51</c:v>
                </c:pt>
                <c:pt idx="73">
                  <c:v>1248.52</c:v>
                </c:pt>
                <c:pt idx="74">
                  <c:v>1248.6300000000001</c:v>
                </c:pt>
                <c:pt idx="75">
                  <c:v>1267.6500000000001</c:v>
                </c:pt>
                <c:pt idx="76">
                  <c:v>1268.0899999999999</c:v>
                </c:pt>
                <c:pt idx="77">
                  <c:v>1241.2</c:v>
                </c:pt>
                <c:pt idx="78">
                  <c:v>1269.05</c:v>
                </c:pt>
                <c:pt idx="79">
                  <c:v>1321.6</c:v>
                </c:pt>
                <c:pt idx="80">
                  <c:v>1279.0999999999999</c:v>
                </c:pt>
                <c:pt idx="81">
                  <c:v>1271.2</c:v>
                </c:pt>
                <c:pt idx="82">
                  <c:v>1274.3599999999999</c:v>
                </c:pt>
                <c:pt idx="83">
                  <c:v>1302.45</c:v>
                </c:pt>
                <c:pt idx="84">
                  <c:v>1344.7</c:v>
                </c:pt>
                <c:pt idx="85">
                  <c:v>1317.66</c:v>
                </c:pt>
                <c:pt idx="86">
                  <c:v>1324</c:v>
                </c:pt>
                <c:pt idx="87">
                  <c:v>1314.95</c:v>
                </c:pt>
                <c:pt idx="88">
                  <c:v>1297.92</c:v>
                </c:pt>
                <c:pt idx="89">
                  <c:v>1252.25</c:v>
                </c:pt>
                <c:pt idx="90">
                  <c:v>1223.4100000000001</c:v>
                </c:pt>
                <c:pt idx="91">
                  <c:v>1200.71</c:v>
                </c:pt>
                <c:pt idx="92">
                  <c:v>1191.69</c:v>
                </c:pt>
                <c:pt idx="93">
                  <c:v>1214.1400000000001</c:v>
                </c:pt>
                <c:pt idx="94">
                  <c:v>1221.8800000000001</c:v>
                </c:pt>
                <c:pt idx="95">
                  <c:v>1282.73</c:v>
                </c:pt>
                <c:pt idx="96">
                  <c:v>1320.56</c:v>
                </c:pt>
                <c:pt idx="97">
                  <c:v>1312.66</c:v>
                </c:pt>
                <c:pt idx="98">
                  <c:v>1291.9000000000001</c:v>
                </c:pt>
                <c:pt idx="99">
                  <c:v>1283.3499999999999</c:v>
                </c:pt>
                <c:pt idx="100">
                  <c:v>1305.25</c:v>
                </c:pt>
                <c:pt idx="101">
                  <c:v>1409.1</c:v>
                </c:pt>
                <c:pt idx="102">
                  <c:v>1413.55</c:v>
                </c:pt>
                <c:pt idx="103">
                  <c:v>1519.85</c:v>
                </c:pt>
                <c:pt idx="104">
                  <c:v>1472</c:v>
                </c:pt>
                <c:pt idx="105">
                  <c:v>1513.16</c:v>
                </c:pt>
                <c:pt idx="106">
                  <c:v>1463.9</c:v>
                </c:pt>
                <c:pt idx="107">
                  <c:v>1517.01</c:v>
                </c:pt>
                <c:pt idx="108">
                  <c:v>1589.81</c:v>
                </c:pt>
                <c:pt idx="109">
                  <c:v>1584.74</c:v>
                </c:pt>
                <c:pt idx="110">
                  <c:v>1571.05</c:v>
                </c:pt>
                <c:pt idx="111">
                  <c:v>1680.09</c:v>
                </c:pt>
                <c:pt idx="112">
                  <c:v>1726.3</c:v>
                </c:pt>
                <c:pt idx="113">
                  <c:v>1780.67</c:v>
                </c:pt>
                <c:pt idx="114">
                  <c:v>1974.69</c:v>
                </c:pt>
                <c:pt idx="115">
                  <c:v>1969.75</c:v>
                </c:pt>
                <c:pt idx="116">
                  <c:v>1885.44</c:v>
                </c:pt>
                <c:pt idx="117">
                  <c:v>1877.95</c:v>
                </c:pt>
                <c:pt idx="118">
                  <c:v>1777.02</c:v>
                </c:pt>
                <c:pt idx="119">
                  <c:v>1896.49</c:v>
                </c:pt>
                <c:pt idx="120">
                  <c:v>1846.09</c:v>
                </c:pt>
                <c:pt idx="121">
                  <c:v>1733.49</c:v>
                </c:pt>
                <c:pt idx="122">
                  <c:v>1707.01</c:v>
                </c:pt>
                <c:pt idx="123">
                  <c:v>1768.59</c:v>
                </c:pt>
                <c:pt idx="124">
                  <c:v>1906.36</c:v>
                </c:pt>
                <c:pt idx="125">
                  <c:v>1769.8</c:v>
                </c:pt>
                <c:pt idx="126">
                  <c:v>1813.58</c:v>
                </c:pt>
                <c:pt idx="127">
                  <c:v>1813.43</c:v>
                </c:pt>
                <c:pt idx="128">
                  <c:v>1756.66</c:v>
                </c:pt>
                <c:pt idx="129">
                  <c:v>1782.81</c:v>
                </c:pt>
                <c:pt idx="130">
                  <c:v>1773.78</c:v>
                </c:pt>
                <c:pt idx="131">
                  <c:v>1828.39</c:v>
                </c:pt>
                <c:pt idx="132">
                  <c:v>1796.47</c:v>
                </c:pt>
                <c:pt idx="133">
                  <c:v>1907.9</c:v>
                </c:pt>
                <c:pt idx="134">
                  <c:v>1937.23</c:v>
                </c:pt>
                <c:pt idx="135">
                  <c:v>1896.4</c:v>
                </c:pt>
                <c:pt idx="136">
                  <c:v>1837.09</c:v>
                </c:pt>
                <c:pt idx="137">
                  <c:v>1806.89</c:v>
                </c:pt>
                <c:pt idx="138">
                  <c:v>1765.22</c:v>
                </c:pt>
                <c:pt idx="139">
                  <c:v>1710.7</c:v>
                </c:pt>
                <c:pt idx="140">
                  <c:v>1659.67</c:v>
                </c:pt>
                <c:pt idx="141">
                  <c:v>1633.12</c:v>
                </c:pt>
                <c:pt idx="142">
                  <c:v>1768.45</c:v>
                </c:pt>
                <c:pt idx="143">
                  <c:v>1824.4</c:v>
                </c:pt>
                <c:pt idx="144">
                  <c:v>1927.88</c:v>
                </c:pt>
                <c:pt idx="145">
                  <c:v>1827.15</c:v>
                </c:pt>
                <c:pt idx="146">
                  <c:v>1967.9</c:v>
                </c:pt>
                <c:pt idx="147">
                  <c:v>1989.65</c:v>
                </c:pt>
                <c:pt idx="148">
                  <c:v>1962.3</c:v>
                </c:pt>
                <c:pt idx="149">
                  <c:v>1919.57</c:v>
                </c:pt>
                <c:pt idx="150">
                  <c:v>1964.19</c:v>
                </c:pt>
                <c:pt idx="151">
                  <c:v>1939.74</c:v>
                </c:pt>
                <c:pt idx="152">
                  <c:v>1848.31</c:v>
                </c:pt>
                <c:pt idx="153">
                  <c:v>1982.7</c:v>
                </c:pt>
                <c:pt idx="154">
                  <c:v>2035.75</c:v>
                </c:pt>
                <c:pt idx="155">
                  <c:v>2062.59</c:v>
                </c:pt>
                <c:pt idx="156">
                  <c:v>2037.19</c:v>
                </c:pt>
                <c:pt idx="157">
                  <c:v>2043.24</c:v>
                </c:pt>
                <c:pt idx="158">
                  <c:v>2232.38</c:v>
                </c:pt>
                <c:pt idx="159">
                  <c:v>2285.5700000000002</c:v>
                </c:pt>
                <c:pt idx="160">
                  <c:v>2326.9699999999998</c:v>
                </c:pt>
                <c:pt idx="161">
                  <c:v>2325.71</c:v>
                </c:pt>
                <c:pt idx="162">
                  <c:v>2448.1</c:v>
                </c:pt>
                <c:pt idx="163">
                  <c:v>2503.0300000000002</c:v>
                </c:pt>
                <c:pt idx="164">
                  <c:v>2634.49</c:v>
                </c:pt>
                <c:pt idx="165">
                  <c:v>2743.8</c:v>
                </c:pt>
                <c:pt idx="166">
                  <c:v>2653.55</c:v>
                </c:pt>
                <c:pt idx="167">
                  <c:v>2623.81</c:v>
                </c:pt>
                <c:pt idx="168">
                  <c:v>2801.18</c:v>
                </c:pt>
                <c:pt idx="169">
                  <c:v>2858.77</c:v>
                </c:pt>
                <c:pt idx="170">
                  <c:v>3123.35</c:v>
                </c:pt>
                <c:pt idx="171">
                  <c:v>3288.59</c:v>
                </c:pt>
                <c:pt idx="172">
                  <c:v>3289.4</c:v>
                </c:pt>
                <c:pt idx="173">
                  <c:v>3303.69</c:v>
                </c:pt>
                <c:pt idx="174">
                  <c:v>3290.32</c:v>
                </c:pt>
                <c:pt idx="175">
                  <c:v>3448</c:v>
                </c:pt>
                <c:pt idx="176">
                  <c:v>3858.51</c:v>
                </c:pt>
                <c:pt idx="177">
                  <c:v>4002.28</c:v>
                </c:pt>
                <c:pt idx="178">
                  <c:v>4230.63</c:v>
                </c:pt>
                <c:pt idx="179">
                  <c:v>4315.09</c:v>
                </c:pt>
                <c:pt idx="180">
                  <c:v>4865.3500000000004</c:v>
                </c:pt>
                <c:pt idx="181">
                  <c:v>5277.9</c:v>
                </c:pt>
                <c:pt idx="182">
                  <c:v>4672.01</c:v>
                </c:pt>
                <c:pt idx="183">
                  <c:v>4622.59</c:v>
                </c:pt>
                <c:pt idx="184">
                  <c:v>4539.2700000000004</c:v>
                </c:pt>
                <c:pt idx="185">
                  <c:v>4008.48</c:v>
                </c:pt>
                <c:pt idx="186">
                  <c:v>4042.67</c:v>
                </c:pt>
                <c:pt idx="187">
                  <c:v>4448.92</c:v>
                </c:pt>
                <c:pt idx="188">
                  <c:v>4283.7299999999996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C66-4F4A-B1B2-63D15FEB6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74982832"/>
        <c:axId val="813739840"/>
      </c:lineChart>
      <c:dateAx>
        <c:axId val="117498283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13739840"/>
        <c:crosses val="autoZero"/>
        <c:auto val="1"/>
        <c:lblOffset val="100"/>
        <c:baseTimeUnit val="months"/>
        <c:majorUnit val="12"/>
        <c:majorTimeUnit val="months"/>
      </c:dateAx>
      <c:valAx>
        <c:axId val="813739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[$$-409]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74982832"/>
        <c:crosses val="autoZero"/>
        <c:crossBetween val="midCat"/>
      </c:valAx>
    </c:plotArea>
    <c:plotVisOnly val="1"/>
    <c:dispBlanksAs val="gap"/>
    <c:showDLblsOverMax val="0"/>
    <c:extLst/>
  </c:chart>
  <c:txPr>
    <a:bodyPr/>
    <a:lstStyle/>
    <a:p>
      <a:pPr>
        <a:defRPr sz="12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l-SI" sz="1200"/>
              <a:t>Cena bitcoina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/>
          </c:spPr>
          <c:marker>
            <c:symbol val="none"/>
          </c:marker>
          <c:cat>
            <c:numRef>
              <c:f>analiza!$A$2:$A$190</c:f>
              <c:numCache>
                <c:formatCode>m/d/yyyy</c:formatCode>
                <c:ptCount val="189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  <c:pt idx="144">
                  <c:v>44927</c:v>
                </c:pt>
                <c:pt idx="145">
                  <c:v>44958</c:v>
                </c:pt>
                <c:pt idx="146">
                  <c:v>44986</c:v>
                </c:pt>
                <c:pt idx="147">
                  <c:v>45017</c:v>
                </c:pt>
                <c:pt idx="148">
                  <c:v>45047</c:v>
                </c:pt>
                <c:pt idx="149">
                  <c:v>45078</c:v>
                </c:pt>
                <c:pt idx="150">
                  <c:v>45108</c:v>
                </c:pt>
                <c:pt idx="151">
                  <c:v>45139</c:v>
                </c:pt>
                <c:pt idx="152">
                  <c:v>45170</c:v>
                </c:pt>
                <c:pt idx="153">
                  <c:v>45200</c:v>
                </c:pt>
                <c:pt idx="154">
                  <c:v>45231</c:v>
                </c:pt>
                <c:pt idx="155">
                  <c:v>45261</c:v>
                </c:pt>
                <c:pt idx="156">
                  <c:v>45292</c:v>
                </c:pt>
                <c:pt idx="157">
                  <c:v>45323</c:v>
                </c:pt>
                <c:pt idx="158">
                  <c:v>45352</c:v>
                </c:pt>
                <c:pt idx="159">
                  <c:v>45383</c:v>
                </c:pt>
                <c:pt idx="160">
                  <c:v>45413</c:v>
                </c:pt>
                <c:pt idx="161">
                  <c:v>45444</c:v>
                </c:pt>
                <c:pt idx="162">
                  <c:v>45474</c:v>
                </c:pt>
                <c:pt idx="163">
                  <c:v>45505</c:v>
                </c:pt>
                <c:pt idx="164">
                  <c:v>45536</c:v>
                </c:pt>
                <c:pt idx="165">
                  <c:v>45566</c:v>
                </c:pt>
                <c:pt idx="166">
                  <c:v>45597</c:v>
                </c:pt>
                <c:pt idx="167">
                  <c:v>45627</c:v>
                </c:pt>
                <c:pt idx="168">
                  <c:v>45658</c:v>
                </c:pt>
                <c:pt idx="169">
                  <c:v>45689</c:v>
                </c:pt>
                <c:pt idx="170">
                  <c:v>45717</c:v>
                </c:pt>
                <c:pt idx="171">
                  <c:v>45748</c:v>
                </c:pt>
                <c:pt idx="172">
                  <c:v>45778</c:v>
                </c:pt>
                <c:pt idx="173">
                  <c:v>45809</c:v>
                </c:pt>
                <c:pt idx="174">
                  <c:v>45839</c:v>
                </c:pt>
                <c:pt idx="175">
                  <c:v>45870</c:v>
                </c:pt>
                <c:pt idx="176">
                  <c:v>45901</c:v>
                </c:pt>
                <c:pt idx="177">
                  <c:v>45931</c:v>
                </c:pt>
                <c:pt idx="178">
                  <c:v>45962</c:v>
                </c:pt>
                <c:pt idx="179">
                  <c:v>45992</c:v>
                </c:pt>
                <c:pt idx="180">
                  <c:v>46023</c:v>
                </c:pt>
                <c:pt idx="181">
                  <c:v>46054</c:v>
                </c:pt>
                <c:pt idx="182">
                  <c:v>46082</c:v>
                </c:pt>
                <c:pt idx="183">
                  <c:v>46113</c:v>
                </c:pt>
                <c:pt idx="184">
                  <c:v>46143</c:v>
                </c:pt>
                <c:pt idx="185">
                  <c:v>46174</c:v>
                </c:pt>
                <c:pt idx="186">
                  <c:v>46204</c:v>
                </c:pt>
                <c:pt idx="187">
                  <c:v>46235</c:v>
                </c:pt>
                <c:pt idx="188">
                  <c:v>46266</c:v>
                </c:pt>
              </c:numCache>
            </c:numRef>
          </c:cat>
          <c:val>
            <c:numRef>
              <c:f>analiza!$C$2:$C$190</c:f>
              <c:numCache>
                <c:formatCode>[$$-409]#,##0.00</c:formatCode>
                <c:ptCount val="189"/>
                <c:pt idx="0">
                  <c:v>0.5</c:v>
                </c:pt>
                <c:pt idx="1">
                  <c:v>0.9</c:v>
                </c:pt>
                <c:pt idx="2">
                  <c:v>0.8</c:v>
                </c:pt>
                <c:pt idx="3">
                  <c:v>3.5</c:v>
                </c:pt>
                <c:pt idx="4">
                  <c:v>8.6999999999999993</c:v>
                </c:pt>
                <c:pt idx="5">
                  <c:v>16.100000000000001</c:v>
                </c:pt>
                <c:pt idx="6">
                  <c:v>13.4</c:v>
                </c:pt>
                <c:pt idx="7">
                  <c:v>8.1999999999999993</c:v>
                </c:pt>
                <c:pt idx="8">
                  <c:v>5.0999999999999996</c:v>
                </c:pt>
                <c:pt idx="9">
                  <c:v>3.3</c:v>
                </c:pt>
                <c:pt idx="10">
                  <c:v>3</c:v>
                </c:pt>
                <c:pt idx="11">
                  <c:v>4.7</c:v>
                </c:pt>
                <c:pt idx="12">
                  <c:v>5.5</c:v>
                </c:pt>
                <c:pt idx="13">
                  <c:v>4.9000000000000004</c:v>
                </c:pt>
                <c:pt idx="14">
                  <c:v>4.9000000000000004</c:v>
                </c:pt>
                <c:pt idx="15">
                  <c:v>4.9000000000000004</c:v>
                </c:pt>
                <c:pt idx="16">
                  <c:v>5.2</c:v>
                </c:pt>
                <c:pt idx="17">
                  <c:v>6.7</c:v>
                </c:pt>
                <c:pt idx="18">
                  <c:v>9.4</c:v>
                </c:pt>
                <c:pt idx="19">
                  <c:v>10.199999999999999</c:v>
                </c:pt>
                <c:pt idx="20">
                  <c:v>12.4</c:v>
                </c:pt>
                <c:pt idx="21">
                  <c:v>11.2</c:v>
                </c:pt>
                <c:pt idx="22">
                  <c:v>12.6</c:v>
                </c:pt>
                <c:pt idx="23">
                  <c:v>13.5</c:v>
                </c:pt>
                <c:pt idx="24">
                  <c:v>20.399999999999999</c:v>
                </c:pt>
                <c:pt idx="25">
                  <c:v>33.4</c:v>
                </c:pt>
                <c:pt idx="26">
                  <c:v>93</c:v>
                </c:pt>
                <c:pt idx="27">
                  <c:v>139.19999999999999</c:v>
                </c:pt>
                <c:pt idx="28">
                  <c:v>128.80000000000001</c:v>
                </c:pt>
                <c:pt idx="29">
                  <c:v>97.5</c:v>
                </c:pt>
                <c:pt idx="30">
                  <c:v>106.2</c:v>
                </c:pt>
                <c:pt idx="31">
                  <c:v>141</c:v>
                </c:pt>
                <c:pt idx="32">
                  <c:v>141.9</c:v>
                </c:pt>
                <c:pt idx="33">
                  <c:v>211.2</c:v>
                </c:pt>
                <c:pt idx="34">
                  <c:v>1205.7</c:v>
                </c:pt>
                <c:pt idx="35">
                  <c:v>805.9</c:v>
                </c:pt>
                <c:pt idx="36">
                  <c:v>938.8</c:v>
                </c:pt>
                <c:pt idx="37">
                  <c:v>573.9</c:v>
                </c:pt>
                <c:pt idx="38">
                  <c:v>444.7</c:v>
                </c:pt>
                <c:pt idx="39">
                  <c:v>445.6</c:v>
                </c:pt>
                <c:pt idx="40">
                  <c:v>627.9</c:v>
                </c:pt>
                <c:pt idx="41">
                  <c:v>635.1</c:v>
                </c:pt>
                <c:pt idx="42">
                  <c:v>589.5</c:v>
                </c:pt>
                <c:pt idx="43">
                  <c:v>481.8</c:v>
                </c:pt>
                <c:pt idx="44">
                  <c:v>388.2</c:v>
                </c:pt>
                <c:pt idx="45">
                  <c:v>337.9</c:v>
                </c:pt>
                <c:pt idx="46">
                  <c:v>374.9</c:v>
                </c:pt>
                <c:pt idx="47">
                  <c:v>318.2</c:v>
                </c:pt>
                <c:pt idx="48">
                  <c:v>218.5</c:v>
                </c:pt>
                <c:pt idx="49">
                  <c:v>254.1</c:v>
                </c:pt>
                <c:pt idx="50">
                  <c:v>244.1</c:v>
                </c:pt>
                <c:pt idx="51">
                  <c:v>235.8</c:v>
                </c:pt>
                <c:pt idx="52">
                  <c:v>229.8</c:v>
                </c:pt>
                <c:pt idx="53">
                  <c:v>264.10000000000002</c:v>
                </c:pt>
                <c:pt idx="54">
                  <c:v>283.7</c:v>
                </c:pt>
                <c:pt idx="55">
                  <c:v>229.5</c:v>
                </c:pt>
                <c:pt idx="56">
                  <c:v>235.9</c:v>
                </c:pt>
                <c:pt idx="57">
                  <c:v>311.2</c:v>
                </c:pt>
                <c:pt idx="58">
                  <c:v>378</c:v>
                </c:pt>
                <c:pt idx="59">
                  <c:v>430</c:v>
                </c:pt>
                <c:pt idx="60">
                  <c:v>369.8</c:v>
                </c:pt>
                <c:pt idx="61">
                  <c:v>436.2</c:v>
                </c:pt>
                <c:pt idx="62">
                  <c:v>415.7</c:v>
                </c:pt>
                <c:pt idx="63">
                  <c:v>448.5</c:v>
                </c:pt>
                <c:pt idx="64">
                  <c:v>528.9</c:v>
                </c:pt>
                <c:pt idx="65">
                  <c:v>670</c:v>
                </c:pt>
                <c:pt idx="66">
                  <c:v>621.9</c:v>
                </c:pt>
                <c:pt idx="67">
                  <c:v>573.9</c:v>
                </c:pt>
                <c:pt idx="68">
                  <c:v>608.1</c:v>
                </c:pt>
                <c:pt idx="69">
                  <c:v>698.7</c:v>
                </c:pt>
                <c:pt idx="70">
                  <c:v>742.5</c:v>
                </c:pt>
                <c:pt idx="71">
                  <c:v>963.4</c:v>
                </c:pt>
                <c:pt idx="72">
                  <c:v>965.5</c:v>
                </c:pt>
                <c:pt idx="73">
                  <c:v>1189.3</c:v>
                </c:pt>
                <c:pt idx="74">
                  <c:v>1079.0999999999999</c:v>
                </c:pt>
                <c:pt idx="75">
                  <c:v>1351.9</c:v>
                </c:pt>
                <c:pt idx="76">
                  <c:v>2303.3000000000002</c:v>
                </c:pt>
                <c:pt idx="77">
                  <c:v>2480.6</c:v>
                </c:pt>
                <c:pt idx="78">
                  <c:v>2883.3</c:v>
                </c:pt>
                <c:pt idx="79">
                  <c:v>4735.1000000000004</c:v>
                </c:pt>
                <c:pt idx="80">
                  <c:v>4360.6000000000004</c:v>
                </c:pt>
                <c:pt idx="81">
                  <c:v>6451.2</c:v>
                </c:pt>
                <c:pt idx="82">
                  <c:v>9946.7999999999993</c:v>
                </c:pt>
                <c:pt idx="83">
                  <c:v>13850.4</c:v>
                </c:pt>
                <c:pt idx="84">
                  <c:v>10265.4</c:v>
                </c:pt>
                <c:pt idx="85">
                  <c:v>10333.9</c:v>
                </c:pt>
                <c:pt idx="86">
                  <c:v>6938.2</c:v>
                </c:pt>
                <c:pt idx="87">
                  <c:v>9245.1</c:v>
                </c:pt>
                <c:pt idx="88">
                  <c:v>7502.6</c:v>
                </c:pt>
                <c:pt idx="89">
                  <c:v>6398.9</c:v>
                </c:pt>
                <c:pt idx="90">
                  <c:v>7729.4</c:v>
                </c:pt>
                <c:pt idx="91">
                  <c:v>7033.8</c:v>
                </c:pt>
                <c:pt idx="92">
                  <c:v>6635.2</c:v>
                </c:pt>
                <c:pt idx="93">
                  <c:v>6365.9</c:v>
                </c:pt>
                <c:pt idx="94">
                  <c:v>4039.7</c:v>
                </c:pt>
                <c:pt idx="95">
                  <c:v>3709.4</c:v>
                </c:pt>
                <c:pt idx="96">
                  <c:v>3437.2</c:v>
                </c:pt>
                <c:pt idx="97">
                  <c:v>3816.6</c:v>
                </c:pt>
                <c:pt idx="98">
                  <c:v>4102.3</c:v>
                </c:pt>
                <c:pt idx="99">
                  <c:v>5320.8</c:v>
                </c:pt>
                <c:pt idx="100">
                  <c:v>8558.2999999999993</c:v>
                </c:pt>
                <c:pt idx="101">
                  <c:v>10818.6</c:v>
                </c:pt>
                <c:pt idx="102">
                  <c:v>10082</c:v>
                </c:pt>
                <c:pt idx="103">
                  <c:v>9594.4</c:v>
                </c:pt>
                <c:pt idx="104">
                  <c:v>8284.2999999999993</c:v>
                </c:pt>
                <c:pt idx="105">
                  <c:v>9152.6</c:v>
                </c:pt>
                <c:pt idx="106">
                  <c:v>7546.6</c:v>
                </c:pt>
                <c:pt idx="107">
                  <c:v>7196.4</c:v>
                </c:pt>
                <c:pt idx="108">
                  <c:v>9349.1</c:v>
                </c:pt>
                <c:pt idx="109">
                  <c:v>8543.7000000000007</c:v>
                </c:pt>
                <c:pt idx="110">
                  <c:v>6412.5</c:v>
                </c:pt>
                <c:pt idx="111">
                  <c:v>8629</c:v>
                </c:pt>
                <c:pt idx="112">
                  <c:v>9454.7999999999993</c:v>
                </c:pt>
                <c:pt idx="113">
                  <c:v>9135.4</c:v>
                </c:pt>
                <c:pt idx="114">
                  <c:v>11333.4</c:v>
                </c:pt>
                <c:pt idx="115">
                  <c:v>11644.2</c:v>
                </c:pt>
                <c:pt idx="116">
                  <c:v>10776.1</c:v>
                </c:pt>
                <c:pt idx="117">
                  <c:v>13797.3</c:v>
                </c:pt>
                <c:pt idx="118">
                  <c:v>19698.099999999999</c:v>
                </c:pt>
                <c:pt idx="119">
                  <c:v>28949.4</c:v>
                </c:pt>
                <c:pt idx="120">
                  <c:v>33108.1</c:v>
                </c:pt>
                <c:pt idx="121">
                  <c:v>45164</c:v>
                </c:pt>
                <c:pt idx="122">
                  <c:v>58763.7</c:v>
                </c:pt>
                <c:pt idx="123">
                  <c:v>57720.3</c:v>
                </c:pt>
                <c:pt idx="124">
                  <c:v>37298.6</c:v>
                </c:pt>
                <c:pt idx="125">
                  <c:v>35026.9</c:v>
                </c:pt>
                <c:pt idx="126">
                  <c:v>41553.699999999997</c:v>
                </c:pt>
                <c:pt idx="127">
                  <c:v>47130.400000000001</c:v>
                </c:pt>
                <c:pt idx="128">
                  <c:v>43823.3</c:v>
                </c:pt>
                <c:pt idx="129">
                  <c:v>61309.599999999999</c:v>
                </c:pt>
                <c:pt idx="130">
                  <c:v>56882.9</c:v>
                </c:pt>
                <c:pt idx="131">
                  <c:v>46219.5</c:v>
                </c:pt>
                <c:pt idx="132">
                  <c:v>38498.6</c:v>
                </c:pt>
                <c:pt idx="133">
                  <c:v>43188.2</c:v>
                </c:pt>
                <c:pt idx="134">
                  <c:v>45525</c:v>
                </c:pt>
                <c:pt idx="135">
                  <c:v>37650</c:v>
                </c:pt>
                <c:pt idx="136">
                  <c:v>31793.4</c:v>
                </c:pt>
                <c:pt idx="137">
                  <c:v>19926.599999999999</c:v>
                </c:pt>
                <c:pt idx="138">
                  <c:v>23303.4</c:v>
                </c:pt>
                <c:pt idx="139">
                  <c:v>20043.900000000001</c:v>
                </c:pt>
                <c:pt idx="140">
                  <c:v>19423</c:v>
                </c:pt>
                <c:pt idx="141">
                  <c:v>20496.3</c:v>
                </c:pt>
                <c:pt idx="142">
                  <c:v>17163.900000000001</c:v>
                </c:pt>
                <c:pt idx="143">
                  <c:v>16537.400000000001</c:v>
                </c:pt>
                <c:pt idx="144">
                  <c:v>23125.1</c:v>
                </c:pt>
                <c:pt idx="145">
                  <c:v>23130.5</c:v>
                </c:pt>
                <c:pt idx="146">
                  <c:v>28473.7</c:v>
                </c:pt>
                <c:pt idx="147">
                  <c:v>29252.1</c:v>
                </c:pt>
                <c:pt idx="148">
                  <c:v>27216.1</c:v>
                </c:pt>
                <c:pt idx="149">
                  <c:v>30472.9</c:v>
                </c:pt>
                <c:pt idx="150">
                  <c:v>29232.400000000001</c:v>
                </c:pt>
                <c:pt idx="151">
                  <c:v>25937.3</c:v>
                </c:pt>
                <c:pt idx="152">
                  <c:v>26962.7</c:v>
                </c:pt>
                <c:pt idx="153">
                  <c:v>34650.6</c:v>
                </c:pt>
                <c:pt idx="154">
                  <c:v>37712.9</c:v>
                </c:pt>
                <c:pt idx="155">
                  <c:v>42272.5</c:v>
                </c:pt>
                <c:pt idx="156">
                  <c:v>42580.5</c:v>
                </c:pt>
                <c:pt idx="157">
                  <c:v>61169.3</c:v>
                </c:pt>
                <c:pt idx="158">
                  <c:v>71332</c:v>
                </c:pt>
                <c:pt idx="159">
                  <c:v>60666.6</c:v>
                </c:pt>
                <c:pt idx="160">
                  <c:v>67530.100000000006</c:v>
                </c:pt>
                <c:pt idx="161">
                  <c:v>62754.3</c:v>
                </c:pt>
                <c:pt idx="162">
                  <c:v>64626</c:v>
                </c:pt>
                <c:pt idx="163">
                  <c:v>58978.6</c:v>
                </c:pt>
                <c:pt idx="164">
                  <c:v>63339.199999999997</c:v>
                </c:pt>
                <c:pt idx="165">
                  <c:v>70281.8</c:v>
                </c:pt>
                <c:pt idx="166">
                  <c:v>96405.7</c:v>
                </c:pt>
                <c:pt idx="167">
                  <c:v>93557.2</c:v>
                </c:pt>
                <c:pt idx="168">
                  <c:v>94536.1</c:v>
                </c:pt>
                <c:pt idx="169">
                  <c:v>84381.2</c:v>
                </c:pt>
                <c:pt idx="170">
                  <c:v>82548.800000000003</c:v>
                </c:pt>
                <c:pt idx="171">
                  <c:v>94184.4</c:v>
                </c:pt>
                <c:pt idx="172">
                  <c:v>104598</c:v>
                </c:pt>
                <c:pt idx="173">
                  <c:v>107171.1</c:v>
                </c:pt>
                <c:pt idx="174">
                  <c:v>115765</c:v>
                </c:pt>
                <c:pt idx="175">
                  <c:v>108226.8</c:v>
                </c:pt>
                <c:pt idx="176">
                  <c:v>114048.5</c:v>
                </c:pt>
                <c:pt idx="177">
                  <c:v>109602.8</c:v>
                </c:pt>
                <c:pt idx="178">
                  <c:v>90374.2</c:v>
                </c:pt>
                <c:pt idx="179">
                  <c:v>87612.7</c:v>
                </c:pt>
                <c:pt idx="180">
                  <c:v>78726.5</c:v>
                </c:pt>
                <c:pt idx="181">
                  <c:v>66995</c:v>
                </c:pt>
                <c:pt idx="182">
                  <c:v>68268.3</c:v>
                </c:pt>
                <c:pt idx="183">
                  <c:v>76316.600000000006</c:v>
                </c:pt>
                <c:pt idx="184">
                  <c:v>73658.899999999994</c:v>
                </c:pt>
                <c:pt idx="185">
                  <c:v>58630.8</c:v>
                </c:pt>
                <c:pt idx="186">
                  <c:v>62875.5</c:v>
                </c:pt>
                <c:pt idx="187">
                  <c:v>78570.3</c:v>
                </c:pt>
                <c:pt idx="188">
                  <c:v>83910.399999999994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D4-4BF1-8EE3-A1C4BDC3C9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74982832"/>
        <c:axId val="813739840"/>
      </c:lineChart>
      <c:dateAx>
        <c:axId val="117498283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13739840"/>
        <c:crosses val="autoZero"/>
        <c:auto val="1"/>
        <c:lblOffset val="100"/>
        <c:baseTimeUnit val="months"/>
        <c:majorUnit val="12"/>
        <c:majorTimeUnit val="months"/>
      </c:dateAx>
      <c:valAx>
        <c:axId val="813739840"/>
        <c:scaling>
          <c:orientation val="minMax"/>
          <c:max val="12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[$$-409]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74982832"/>
        <c:crosses val="autoZero"/>
        <c:crossBetween val="midCat"/>
      </c:valAx>
    </c:plotArea>
    <c:plotVisOnly val="1"/>
    <c:dispBlanksAs val="gap"/>
    <c:showDLblsOverMax val="0"/>
    <c:extLst/>
  </c:chart>
  <c:txPr>
    <a:bodyPr/>
    <a:lstStyle/>
    <a:p>
      <a:pPr>
        <a:defRPr sz="12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l-SI" sz="1200"/>
              <a:t>Cena bitcoina (logaritemska skala)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/>
          </c:spPr>
          <c:marker>
            <c:symbol val="none"/>
          </c:marker>
          <c:cat>
            <c:numRef>
              <c:f>analiza!$A$2:$A$190</c:f>
              <c:numCache>
                <c:formatCode>m/d/yyyy</c:formatCode>
                <c:ptCount val="189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  <c:pt idx="144">
                  <c:v>44927</c:v>
                </c:pt>
                <c:pt idx="145">
                  <c:v>44958</c:v>
                </c:pt>
                <c:pt idx="146">
                  <c:v>44986</c:v>
                </c:pt>
                <c:pt idx="147">
                  <c:v>45017</c:v>
                </c:pt>
                <c:pt idx="148">
                  <c:v>45047</c:v>
                </c:pt>
                <c:pt idx="149">
                  <c:v>45078</c:v>
                </c:pt>
                <c:pt idx="150">
                  <c:v>45108</c:v>
                </c:pt>
                <c:pt idx="151">
                  <c:v>45139</c:v>
                </c:pt>
                <c:pt idx="152">
                  <c:v>45170</c:v>
                </c:pt>
                <c:pt idx="153">
                  <c:v>45200</c:v>
                </c:pt>
                <c:pt idx="154">
                  <c:v>45231</c:v>
                </c:pt>
                <c:pt idx="155">
                  <c:v>45261</c:v>
                </c:pt>
                <c:pt idx="156">
                  <c:v>45292</c:v>
                </c:pt>
                <c:pt idx="157">
                  <c:v>45323</c:v>
                </c:pt>
                <c:pt idx="158">
                  <c:v>45352</c:v>
                </c:pt>
                <c:pt idx="159">
                  <c:v>45383</c:v>
                </c:pt>
                <c:pt idx="160">
                  <c:v>45413</c:v>
                </c:pt>
                <c:pt idx="161">
                  <c:v>45444</c:v>
                </c:pt>
                <c:pt idx="162">
                  <c:v>45474</c:v>
                </c:pt>
                <c:pt idx="163">
                  <c:v>45505</c:v>
                </c:pt>
                <c:pt idx="164">
                  <c:v>45536</c:v>
                </c:pt>
                <c:pt idx="165">
                  <c:v>45566</c:v>
                </c:pt>
                <c:pt idx="166">
                  <c:v>45597</c:v>
                </c:pt>
                <c:pt idx="167">
                  <c:v>45627</c:v>
                </c:pt>
                <c:pt idx="168">
                  <c:v>45658</c:v>
                </c:pt>
                <c:pt idx="169">
                  <c:v>45689</c:v>
                </c:pt>
                <c:pt idx="170">
                  <c:v>45717</c:v>
                </c:pt>
                <c:pt idx="171">
                  <c:v>45748</c:v>
                </c:pt>
                <c:pt idx="172">
                  <c:v>45778</c:v>
                </c:pt>
                <c:pt idx="173">
                  <c:v>45809</c:v>
                </c:pt>
                <c:pt idx="174">
                  <c:v>45839</c:v>
                </c:pt>
                <c:pt idx="175">
                  <c:v>45870</c:v>
                </c:pt>
                <c:pt idx="176">
                  <c:v>45901</c:v>
                </c:pt>
                <c:pt idx="177">
                  <c:v>45931</c:v>
                </c:pt>
                <c:pt idx="178">
                  <c:v>45962</c:v>
                </c:pt>
                <c:pt idx="179">
                  <c:v>45992</c:v>
                </c:pt>
                <c:pt idx="180">
                  <c:v>46023</c:v>
                </c:pt>
                <c:pt idx="181">
                  <c:v>46054</c:v>
                </c:pt>
                <c:pt idx="182">
                  <c:v>46082</c:v>
                </c:pt>
                <c:pt idx="183">
                  <c:v>46113</c:v>
                </c:pt>
                <c:pt idx="184">
                  <c:v>46143</c:v>
                </c:pt>
                <c:pt idx="185">
                  <c:v>46174</c:v>
                </c:pt>
                <c:pt idx="186">
                  <c:v>46204</c:v>
                </c:pt>
                <c:pt idx="187">
                  <c:v>46235</c:v>
                </c:pt>
                <c:pt idx="188">
                  <c:v>46266</c:v>
                </c:pt>
              </c:numCache>
            </c:numRef>
          </c:cat>
          <c:val>
            <c:numRef>
              <c:f>analiza!$C$2:$C$190</c:f>
              <c:numCache>
                <c:formatCode>[$$-409]#,##0.00</c:formatCode>
                <c:ptCount val="189"/>
                <c:pt idx="0">
                  <c:v>0.5</c:v>
                </c:pt>
                <c:pt idx="1">
                  <c:v>0.9</c:v>
                </c:pt>
                <c:pt idx="2">
                  <c:v>0.8</c:v>
                </c:pt>
                <c:pt idx="3">
                  <c:v>3.5</c:v>
                </c:pt>
                <c:pt idx="4">
                  <c:v>8.6999999999999993</c:v>
                </c:pt>
                <c:pt idx="5">
                  <c:v>16.100000000000001</c:v>
                </c:pt>
                <c:pt idx="6">
                  <c:v>13.4</c:v>
                </c:pt>
                <c:pt idx="7">
                  <c:v>8.1999999999999993</c:v>
                </c:pt>
                <c:pt idx="8">
                  <c:v>5.0999999999999996</c:v>
                </c:pt>
                <c:pt idx="9">
                  <c:v>3.3</c:v>
                </c:pt>
                <c:pt idx="10">
                  <c:v>3</c:v>
                </c:pt>
                <c:pt idx="11">
                  <c:v>4.7</c:v>
                </c:pt>
                <c:pt idx="12">
                  <c:v>5.5</c:v>
                </c:pt>
                <c:pt idx="13">
                  <c:v>4.9000000000000004</c:v>
                </c:pt>
                <c:pt idx="14">
                  <c:v>4.9000000000000004</c:v>
                </c:pt>
                <c:pt idx="15">
                  <c:v>4.9000000000000004</c:v>
                </c:pt>
                <c:pt idx="16">
                  <c:v>5.2</c:v>
                </c:pt>
                <c:pt idx="17">
                  <c:v>6.7</c:v>
                </c:pt>
                <c:pt idx="18">
                  <c:v>9.4</c:v>
                </c:pt>
                <c:pt idx="19">
                  <c:v>10.199999999999999</c:v>
                </c:pt>
                <c:pt idx="20">
                  <c:v>12.4</c:v>
                </c:pt>
                <c:pt idx="21">
                  <c:v>11.2</c:v>
                </c:pt>
                <c:pt idx="22">
                  <c:v>12.6</c:v>
                </c:pt>
                <c:pt idx="23">
                  <c:v>13.5</c:v>
                </c:pt>
                <c:pt idx="24">
                  <c:v>20.399999999999999</c:v>
                </c:pt>
                <c:pt idx="25">
                  <c:v>33.4</c:v>
                </c:pt>
                <c:pt idx="26">
                  <c:v>93</c:v>
                </c:pt>
                <c:pt idx="27">
                  <c:v>139.19999999999999</c:v>
                </c:pt>
                <c:pt idx="28">
                  <c:v>128.80000000000001</c:v>
                </c:pt>
                <c:pt idx="29">
                  <c:v>97.5</c:v>
                </c:pt>
                <c:pt idx="30">
                  <c:v>106.2</c:v>
                </c:pt>
                <c:pt idx="31">
                  <c:v>141</c:v>
                </c:pt>
                <c:pt idx="32">
                  <c:v>141.9</c:v>
                </c:pt>
                <c:pt idx="33">
                  <c:v>211.2</c:v>
                </c:pt>
                <c:pt idx="34">
                  <c:v>1205.7</c:v>
                </c:pt>
                <c:pt idx="35">
                  <c:v>805.9</c:v>
                </c:pt>
                <c:pt idx="36">
                  <c:v>938.8</c:v>
                </c:pt>
                <c:pt idx="37">
                  <c:v>573.9</c:v>
                </c:pt>
                <c:pt idx="38">
                  <c:v>444.7</c:v>
                </c:pt>
                <c:pt idx="39">
                  <c:v>445.6</c:v>
                </c:pt>
                <c:pt idx="40">
                  <c:v>627.9</c:v>
                </c:pt>
                <c:pt idx="41">
                  <c:v>635.1</c:v>
                </c:pt>
                <c:pt idx="42">
                  <c:v>589.5</c:v>
                </c:pt>
                <c:pt idx="43">
                  <c:v>481.8</c:v>
                </c:pt>
                <c:pt idx="44">
                  <c:v>388.2</c:v>
                </c:pt>
                <c:pt idx="45">
                  <c:v>337.9</c:v>
                </c:pt>
                <c:pt idx="46">
                  <c:v>374.9</c:v>
                </c:pt>
                <c:pt idx="47">
                  <c:v>318.2</c:v>
                </c:pt>
                <c:pt idx="48">
                  <c:v>218.5</c:v>
                </c:pt>
                <c:pt idx="49">
                  <c:v>254.1</c:v>
                </c:pt>
                <c:pt idx="50">
                  <c:v>244.1</c:v>
                </c:pt>
                <c:pt idx="51">
                  <c:v>235.8</c:v>
                </c:pt>
                <c:pt idx="52">
                  <c:v>229.8</c:v>
                </c:pt>
                <c:pt idx="53">
                  <c:v>264.10000000000002</c:v>
                </c:pt>
                <c:pt idx="54">
                  <c:v>283.7</c:v>
                </c:pt>
                <c:pt idx="55">
                  <c:v>229.5</c:v>
                </c:pt>
                <c:pt idx="56">
                  <c:v>235.9</c:v>
                </c:pt>
                <c:pt idx="57">
                  <c:v>311.2</c:v>
                </c:pt>
                <c:pt idx="58">
                  <c:v>378</c:v>
                </c:pt>
                <c:pt idx="59">
                  <c:v>430</c:v>
                </c:pt>
                <c:pt idx="60">
                  <c:v>369.8</c:v>
                </c:pt>
                <c:pt idx="61">
                  <c:v>436.2</c:v>
                </c:pt>
                <c:pt idx="62">
                  <c:v>415.7</c:v>
                </c:pt>
                <c:pt idx="63">
                  <c:v>448.5</c:v>
                </c:pt>
                <c:pt idx="64">
                  <c:v>528.9</c:v>
                </c:pt>
                <c:pt idx="65">
                  <c:v>670</c:v>
                </c:pt>
                <c:pt idx="66">
                  <c:v>621.9</c:v>
                </c:pt>
                <c:pt idx="67">
                  <c:v>573.9</c:v>
                </c:pt>
                <c:pt idx="68">
                  <c:v>608.1</c:v>
                </c:pt>
                <c:pt idx="69">
                  <c:v>698.7</c:v>
                </c:pt>
                <c:pt idx="70">
                  <c:v>742.5</c:v>
                </c:pt>
                <c:pt idx="71">
                  <c:v>963.4</c:v>
                </c:pt>
                <c:pt idx="72">
                  <c:v>965.5</c:v>
                </c:pt>
                <c:pt idx="73">
                  <c:v>1189.3</c:v>
                </c:pt>
                <c:pt idx="74">
                  <c:v>1079.0999999999999</c:v>
                </c:pt>
                <c:pt idx="75">
                  <c:v>1351.9</c:v>
                </c:pt>
                <c:pt idx="76">
                  <c:v>2303.3000000000002</c:v>
                </c:pt>
                <c:pt idx="77">
                  <c:v>2480.6</c:v>
                </c:pt>
                <c:pt idx="78">
                  <c:v>2883.3</c:v>
                </c:pt>
                <c:pt idx="79">
                  <c:v>4735.1000000000004</c:v>
                </c:pt>
                <c:pt idx="80">
                  <c:v>4360.6000000000004</c:v>
                </c:pt>
                <c:pt idx="81">
                  <c:v>6451.2</c:v>
                </c:pt>
                <c:pt idx="82">
                  <c:v>9946.7999999999993</c:v>
                </c:pt>
                <c:pt idx="83">
                  <c:v>13850.4</c:v>
                </c:pt>
                <c:pt idx="84">
                  <c:v>10265.4</c:v>
                </c:pt>
                <c:pt idx="85">
                  <c:v>10333.9</c:v>
                </c:pt>
                <c:pt idx="86">
                  <c:v>6938.2</c:v>
                </c:pt>
                <c:pt idx="87">
                  <c:v>9245.1</c:v>
                </c:pt>
                <c:pt idx="88">
                  <c:v>7502.6</c:v>
                </c:pt>
                <c:pt idx="89">
                  <c:v>6398.9</c:v>
                </c:pt>
                <c:pt idx="90">
                  <c:v>7729.4</c:v>
                </c:pt>
                <c:pt idx="91">
                  <c:v>7033.8</c:v>
                </c:pt>
                <c:pt idx="92">
                  <c:v>6635.2</c:v>
                </c:pt>
                <c:pt idx="93">
                  <c:v>6365.9</c:v>
                </c:pt>
                <c:pt idx="94">
                  <c:v>4039.7</c:v>
                </c:pt>
                <c:pt idx="95">
                  <c:v>3709.4</c:v>
                </c:pt>
                <c:pt idx="96">
                  <c:v>3437.2</c:v>
                </c:pt>
                <c:pt idx="97">
                  <c:v>3816.6</c:v>
                </c:pt>
                <c:pt idx="98">
                  <c:v>4102.3</c:v>
                </c:pt>
                <c:pt idx="99">
                  <c:v>5320.8</c:v>
                </c:pt>
                <c:pt idx="100">
                  <c:v>8558.2999999999993</c:v>
                </c:pt>
                <c:pt idx="101">
                  <c:v>10818.6</c:v>
                </c:pt>
                <c:pt idx="102">
                  <c:v>10082</c:v>
                </c:pt>
                <c:pt idx="103">
                  <c:v>9594.4</c:v>
                </c:pt>
                <c:pt idx="104">
                  <c:v>8284.2999999999993</c:v>
                </c:pt>
                <c:pt idx="105">
                  <c:v>9152.6</c:v>
                </c:pt>
                <c:pt idx="106">
                  <c:v>7546.6</c:v>
                </c:pt>
                <c:pt idx="107">
                  <c:v>7196.4</c:v>
                </c:pt>
                <c:pt idx="108">
                  <c:v>9349.1</c:v>
                </c:pt>
                <c:pt idx="109">
                  <c:v>8543.7000000000007</c:v>
                </c:pt>
                <c:pt idx="110">
                  <c:v>6412.5</c:v>
                </c:pt>
                <c:pt idx="111">
                  <c:v>8629</c:v>
                </c:pt>
                <c:pt idx="112">
                  <c:v>9454.7999999999993</c:v>
                </c:pt>
                <c:pt idx="113">
                  <c:v>9135.4</c:v>
                </c:pt>
                <c:pt idx="114">
                  <c:v>11333.4</c:v>
                </c:pt>
                <c:pt idx="115">
                  <c:v>11644.2</c:v>
                </c:pt>
                <c:pt idx="116">
                  <c:v>10776.1</c:v>
                </c:pt>
                <c:pt idx="117">
                  <c:v>13797.3</c:v>
                </c:pt>
                <c:pt idx="118">
                  <c:v>19698.099999999999</c:v>
                </c:pt>
                <c:pt idx="119">
                  <c:v>28949.4</c:v>
                </c:pt>
                <c:pt idx="120">
                  <c:v>33108.1</c:v>
                </c:pt>
                <c:pt idx="121">
                  <c:v>45164</c:v>
                </c:pt>
                <c:pt idx="122">
                  <c:v>58763.7</c:v>
                </c:pt>
                <c:pt idx="123">
                  <c:v>57720.3</c:v>
                </c:pt>
                <c:pt idx="124">
                  <c:v>37298.6</c:v>
                </c:pt>
                <c:pt idx="125">
                  <c:v>35026.9</c:v>
                </c:pt>
                <c:pt idx="126">
                  <c:v>41553.699999999997</c:v>
                </c:pt>
                <c:pt idx="127">
                  <c:v>47130.400000000001</c:v>
                </c:pt>
                <c:pt idx="128">
                  <c:v>43823.3</c:v>
                </c:pt>
                <c:pt idx="129">
                  <c:v>61309.599999999999</c:v>
                </c:pt>
                <c:pt idx="130">
                  <c:v>56882.9</c:v>
                </c:pt>
                <c:pt idx="131">
                  <c:v>46219.5</c:v>
                </c:pt>
                <c:pt idx="132">
                  <c:v>38498.6</c:v>
                </c:pt>
                <c:pt idx="133">
                  <c:v>43188.2</c:v>
                </c:pt>
                <c:pt idx="134">
                  <c:v>45525</c:v>
                </c:pt>
                <c:pt idx="135">
                  <c:v>37650</c:v>
                </c:pt>
                <c:pt idx="136">
                  <c:v>31793.4</c:v>
                </c:pt>
                <c:pt idx="137">
                  <c:v>19926.599999999999</c:v>
                </c:pt>
                <c:pt idx="138">
                  <c:v>23303.4</c:v>
                </c:pt>
                <c:pt idx="139">
                  <c:v>20043.900000000001</c:v>
                </c:pt>
                <c:pt idx="140">
                  <c:v>19423</c:v>
                </c:pt>
                <c:pt idx="141">
                  <c:v>20496.3</c:v>
                </c:pt>
                <c:pt idx="142">
                  <c:v>17163.900000000001</c:v>
                </c:pt>
                <c:pt idx="143">
                  <c:v>16537.400000000001</c:v>
                </c:pt>
                <c:pt idx="144">
                  <c:v>23125.1</c:v>
                </c:pt>
                <c:pt idx="145">
                  <c:v>23130.5</c:v>
                </c:pt>
                <c:pt idx="146">
                  <c:v>28473.7</c:v>
                </c:pt>
                <c:pt idx="147">
                  <c:v>29252.1</c:v>
                </c:pt>
                <c:pt idx="148">
                  <c:v>27216.1</c:v>
                </c:pt>
                <c:pt idx="149">
                  <c:v>30472.9</c:v>
                </c:pt>
                <c:pt idx="150">
                  <c:v>29232.400000000001</c:v>
                </c:pt>
                <c:pt idx="151">
                  <c:v>25937.3</c:v>
                </c:pt>
                <c:pt idx="152">
                  <c:v>26962.7</c:v>
                </c:pt>
                <c:pt idx="153">
                  <c:v>34650.6</c:v>
                </c:pt>
                <c:pt idx="154">
                  <c:v>37712.9</c:v>
                </c:pt>
                <c:pt idx="155">
                  <c:v>42272.5</c:v>
                </c:pt>
                <c:pt idx="156">
                  <c:v>42580.5</c:v>
                </c:pt>
                <c:pt idx="157">
                  <c:v>61169.3</c:v>
                </c:pt>
                <c:pt idx="158">
                  <c:v>71332</c:v>
                </c:pt>
                <c:pt idx="159">
                  <c:v>60666.6</c:v>
                </c:pt>
                <c:pt idx="160">
                  <c:v>67530.100000000006</c:v>
                </c:pt>
                <c:pt idx="161">
                  <c:v>62754.3</c:v>
                </c:pt>
                <c:pt idx="162">
                  <c:v>64626</c:v>
                </c:pt>
                <c:pt idx="163">
                  <c:v>58978.6</c:v>
                </c:pt>
                <c:pt idx="164">
                  <c:v>63339.199999999997</c:v>
                </c:pt>
                <c:pt idx="165">
                  <c:v>70281.8</c:v>
                </c:pt>
                <c:pt idx="166">
                  <c:v>96405.7</c:v>
                </c:pt>
                <c:pt idx="167">
                  <c:v>93557.2</c:v>
                </c:pt>
                <c:pt idx="168">
                  <c:v>94536.1</c:v>
                </c:pt>
                <c:pt idx="169">
                  <c:v>84381.2</c:v>
                </c:pt>
                <c:pt idx="170">
                  <c:v>82548.800000000003</c:v>
                </c:pt>
                <c:pt idx="171">
                  <c:v>94184.4</c:v>
                </c:pt>
                <c:pt idx="172">
                  <c:v>104598</c:v>
                </c:pt>
                <c:pt idx="173">
                  <c:v>107171.1</c:v>
                </c:pt>
                <c:pt idx="174">
                  <c:v>115765</c:v>
                </c:pt>
                <c:pt idx="175">
                  <c:v>108226.8</c:v>
                </c:pt>
                <c:pt idx="176">
                  <c:v>114048.5</c:v>
                </c:pt>
                <c:pt idx="177">
                  <c:v>109602.8</c:v>
                </c:pt>
                <c:pt idx="178">
                  <c:v>90374.2</c:v>
                </c:pt>
                <c:pt idx="179">
                  <c:v>87612.7</c:v>
                </c:pt>
                <c:pt idx="180">
                  <c:v>78726.5</c:v>
                </c:pt>
                <c:pt idx="181">
                  <c:v>66995</c:v>
                </c:pt>
                <c:pt idx="182">
                  <c:v>68268.3</c:v>
                </c:pt>
                <c:pt idx="183">
                  <c:v>76316.600000000006</c:v>
                </c:pt>
                <c:pt idx="184">
                  <c:v>73658.899999999994</c:v>
                </c:pt>
                <c:pt idx="185">
                  <c:v>58630.8</c:v>
                </c:pt>
                <c:pt idx="186">
                  <c:v>62875.5</c:v>
                </c:pt>
                <c:pt idx="187">
                  <c:v>78570.3</c:v>
                </c:pt>
                <c:pt idx="188">
                  <c:v>83910.399999999994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D4-4BF1-8EE3-A1C4BDC3C9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74982832"/>
        <c:axId val="813739840"/>
      </c:lineChart>
      <c:dateAx>
        <c:axId val="117498283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13739840"/>
        <c:crossesAt val="0.1"/>
        <c:auto val="1"/>
        <c:lblOffset val="100"/>
        <c:baseTimeUnit val="months"/>
        <c:majorUnit val="12"/>
        <c:majorTimeUnit val="months"/>
      </c:dateAx>
      <c:valAx>
        <c:axId val="813739840"/>
        <c:scaling>
          <c:logBase val="10"/>
          <c:orientation val="minMax"/>
          <c:max val="120000"/>
          <c:min val="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[$$-409]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74982832"/>
        <c:crosses val="autoZero"/>
        <c:crossBetween val="midCat"/>
      </c:valAx>
    </c:plotArea>
    <c:plotVisOnly val="1"/>
    <c:dispBlanksAs val="gap"/>
    <c:showDLblsOverMax val="0"/>
    <c:extLst/>
  </c:chart>
  <c:txPr>
    <a:bodyPr/>
    <a:lstStyle/>
    <a:p>
      <a:pPr>
        <a:defRPr sz="12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l-SI" sz="1200"/>
              <a:t>Mesečna donosnost </a:t>
            </a:r>
            <a:r>
              <a:rPr lang="sl-SI" sz="1200" baseline="0"/>
              <a:t>zlata</a:t>
            </a:r>
            <a:endParaRPr lang="sl-SI" sz="1200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/>
          </c:spPr>
          <c:marker>
            <c:symbol val="none"/>
          </c:marker>
          <c:cat>
            <c:numRef>
              <c:f>analiza!$A$2:$A$190</c:f>
              <c:numCache>
                <c:formatCode>m/d/yyyy</c:formatCode>
                <c:ptCount val="189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  <c:pt idx="144">
                  <c:v>44927</c:v>
                </c:pt>
                <c:pt idx="145">
                  <c:v>44958</c:v>
                </c:pt>
                <c:pt idx="146">
                  <c:v>44986</c:v>
                </c:pt>
                <c:pt idx="147">
                  <c:v>45017</c:v>
                </c:pt>
                <c:pt idx="148">
                  <c:v>45047</c:v>
                </c:pt>
                <c:pt idx="149">
                  <c:v>45078</c:v>
                </c:pt>
                <c:pt idx="150">
                  <c:v>45108</c:v>
                </c:pt>
                <c:pt idx="151">
                  <c:v>45139</c:v>
                </c:pt>
                <c:pt idx="152">
                  <c:v>45170</c:v>
                </c:pt>
                <c:pt idx="153">
                  <c:v>45200</c:v>
                </c:pt>
                <c:pt idx="154">
                  <c:v>45231</c:v>
                </c:pt>
                <c:pt idx="155">
                  <c:v>45261</c:v>
                </c:pt>
                <c:pt idx="156">
                  <c:v>45292</c:v>
                </c:pt>
                <c:pt idx="157">
                  <c:v>45323</c:v>
                </c:pt>
                <c:pt idx="158">
                  <c:v>45352</c:v>
                </c:pt>
                <c:pt idx="159">
                  <c:v>45383</c:v>
                </c:pt>
                <c:pt idx="160">
                  <c:v>45413</c:v>
                </c:pt>
                <c:pt idx="161">
                  <c:v>45444</c:v>
                </c:pt>
                <c:pt idx="162">
                  <c:v>45474</c:v>
                </c:pt>
                <c:pt idx="163">
                  <c:v>45505</c:v>
                </c:pt>
                <c:pt idx="164">
                  <c:v>45536</c:v>
                </c:pt>
                <c:pt idx="165">
                  <c:v>45566</c:v>
                </c:pt>
                <c:pt idx="166">
                  <c:v>45597</c:v>
                </c:pt>
                <c:pt idx="167">
                  <c:v>45627</c:v>
                </c:pt>
                <c:pt idx="168">
                  <c:v>45658</c:v>
                </c:pt>
                <c:pt idx="169">
                  <c:v>45689</c:v>
                </c:pt>
                <c:pt idx="170">
                  <c:v>45717</c:v>
                </c:pt>
                <c:pt idx="171">
                  <c:v>45748</c:v>
                </c:pt>
                <c:pt idx="172">
                  <c:v>45778</c:v>
                </c:pt>
                <c:pt idx="173">
                  <c:v>45809</c:v>
                </c:pt>
                <c:pt idx="174">
                  <c:v>45839</c:v>
                </c:pt>
                <c:pt idx="175">
                  <c:v>45870</c:v>
                </c:pt>
                <c:pt idx="176">
                  <c:v>45901</c:v>
                </c:pt>
                <c:pt idx="177">
                  <c:v>45931</c:v>
                </c:pt>
                <c:pt idx="178">
                  <c:v>45962</c:v>
                </c:pt>
                <c:pt idx="179">
                  <c:v>45992</c:v>
                </c:pt>
                <c:pt idx="180">
                  <c:v>46023</c:v>
                </c:pt>
                <c:pt idx="181">
                  <c:v>46054</c:v>
                </c:pt>
                <c:pt idx="182">
                  <c:v>46082</c:v>
                </c:pt>
                <c:pt idx="183">
                  <c:v>46113</c:v>
                </c:pt>
                <c:pt idx="184">
                  <c:v>46143</c:v>
                </c:pt>
                <c:pt idx="185">
                  <c:v>46174</c:v>
                </c:pt>
                <c:pt idx="186">
                  <c:v>46204</c:v>
                </c:pt>
                <c:pt idx="187">
                  <c:v>46235</c:v>
                </c:pt>
                <c:pt idx="188">
                  <c:v>46266</c:v>
                </c:pt>
              </c:numCache>
            </c:numRef>
          </c:cat>
          <c:val>
            <c:numRef>
              <c:f>analiza!$F$2:$F$190</c:f>
              <c:numCache>
                <c:formatCode>0.00%</c:formatCode>
                <c:ptCount val="189"/>
                <c:pt idx="0">
                  <c:v>5.9646146570684386E-2</c:v>
                </c:pt>
                <c:pt idx="1">
                  <c:v>1.4415754613395606E-2</c:v>
                </c:pt>
                <c:pt idx="2">
                  <c:v>9.3296089385474804E-2</c:v>
                </c:pt>
                <c:pt idx="3">
                  <c:v>-1.9321665815022995E-2</c:v>
                </c:pt>
                <c:pt idx="4">
                  <c:v>-2.2958934444914841E-2</c:v>
                </c:pt>
                <c:pt idx="5">
                  <c:v>8.4354376374908474E-2</c:v>
                </c:pt>
                <c:pt idx="6">
                  <c:v>0.12120690503122993</c:v>
                </c:pt>
                <c:pt idx="7">
                  <c:v>-0.10968856234236207</c:v>
                </c:pt>
                <c:pt idx="8">
                  <c:v>5.635103926096998E-2</c:v>
                </c:pt>
                <c:pt idx="9">
                  <c:v>1.7752514210756475E-2</c:v>
                </c:pt>
                <c:pt idx="10">
                  <c:v>-0.10391247064214933</c:v>
                </c:pt>
                <c:pt idx="11">
                  <c:v>0.11195422872850483</c:v>
                </c:pt>
                <c:pt idx="12">
                  <c:v>-2.5427870049384002E-2</c:v>
                </c:pt>
                <c:pt idx="13">
                  <c:v>-1.5514393581878217E-2</c:v>
                </c:pt>
                <c:pt idx="14">
                  <c:v>-2.7203547246690577E-3</c:v>
                </c:pt>
                <c:pt idx="15">
                  <c:v>-6.2282198562810843E-2</c:v>
                </c:pt>
                <c:pt idx="16">
                  <c:v>2.4283975139360457E-2</c:v>
                </c:pt>
                <c:pt idx="17">
                  <c:v>9.570874515200915E-3</c:v>
                </c:pt>
                <c:pt idx="18">
                  <c:v>4.7865419170952349E-2</c:v>
                </c:pt>
                <c:pt idx="19">
                  <c:v>4.7346480205777093E-2</c:v>
                </c:pt>
                <c:pt idx="20">
                  <c:v>-2.8607400548774333E-2</c:v>
                </c:pt>
                <c:pt idx="21">
                  <c:v>-3.5744384063234802E-3</c:v>
                </c:pt>
                <c:pt idx="22">
                  <c:v>-2.3366775548296879E-2</c:v>
                </c:pt>
                <c:pt idx="23">
                  <c:v>-6.7787904487737914E-3</c:v>
                </c:pt>
                <c:pt idx="24">
                  <c:v>-5.0048406785368531E-2</c:v>
                </c:pt>
                <c:pt idx="25">
                  <c:v>1.0387653820833596E-2</c:v>
                </c:pt>
                <c:pt idx="26">
                  <c:v>-7.4910567170163672E-2</c:v>
                </c:pt>
                <c:pt idx="27">
                  <c:v>-6.1086279290261294E-2</c:v>
                </c:pt>
                <c:pt idx="28">
                  <c:v>-0.11054529717253317</c:v>
                </c:pt>
                <c:pt idx="29">
                  <c:v>7.2457304117942739E-2</c:v>
                </c:pt>
                <c:pt idx="30">
                  <c:v>5.5350134972665235E-2</c:v>
                </c:pt>
                <c:pt idx="31">
                  <c:v>-4.9258789559286087E-2</c:v>
                </c:pt>
                <c:pt idx="32">
                  <c:v>-2.8260509141332687E-3</c:v>
                </c:pt>
                <c:pt idx="33">
                  <c:v>-5.3809354665618724E-2</c:v>
                </c:pt>
                <c:pt idx="34">
                  <c:v>-3.7580172365593939E-2</c:v>
                </c:pt>
                <c:pt idx="35">
                  <c:v>3.174431921921423E-2</c:v>
                </c:pt>
                <c:pt idx="36">
                  <c:v>6.6441975884619336E-2</c:v>
                </c:pt>
                <c:pt idx="37">
                  <c:v>-3.1792365306722685E-2</c:v>
                </c:pt>
                <c:pt idx="38">
                  <c:v>5.9596148452836176E-3</c:v>
                </c:pt>
                <c:pt idx="39">
                  <c:v>-3.1441426790263932E-2</c:v>
                </c:pt>
                <c:pt idx="40">
                  <c:v>6.1166236237596844E-2</c:v>
                </c:pt>
                <c:pt idx="41">
                  <c:v>-3.3981570084162881E-2</c:v>
                </c:pt>
                <c:pt idx="42">
                  <c:v>3.8842826946626358E-3</c:v>
                </c:pt>
                <c:pt idx="43">
                  <c:v>-6.0859160729408605E-2</c:v>
                </c:pt>
                <c:pt idx="44">
                  <c:v>-2.8806856726839466E-2</c:v>
                </c:pt>
                <c:pt idx="45">
                  <c:v>-5.8607060106311403E-3</c:v>
                </c:pt>
                <c:pt idx="46">
                  <c:v>1.4146901562928428E-2</c:v>
                </c:pt>
                <c:pt idx="47">
                  <c:v>8.3857885175953703E-2</c:v>
                </c:pt>
                <c:pt idx="48">
                  <c:v>-5.4763018397256003E-2</c:v>
                </c:pt>
                <c:pt idx="49">
                  <c:v>-2.428765824089732E-2</c:v>
                </c:pt>
                <c:pt idx="50">
                  <c:v>6.3392781675259921E-4</c:v>
                </c:pt>
                <c:pt idx="51">
                  <c:v>4.9837394940238132E-3</c:v>
                </c:pt>
                <c:pt idx="52">
                  <c:v>-1.4750998108846359E-2</c:v>
                </c:pt>
                <c:pt idx="53">
                  <c:v>-6.5517829721890422E-2</c:v>
                </c:pt>
                <c:pt idx="54">
                  <c:v>3.5329559978090029E-2</c:v>
                </c:pt>
                <c:pt idx="55">
                  <c:v>-1.7194250947888196E-2</c:v>
                </c:pt>
                <c:pt idx="56">
                  <c:v>2.458280997667333E-2</c:v>
                </c:pt>
                <c:pt idx="57">
                  <c:v>-6.828371278458846E-2</c:v>
                </c:pt>
                <c:pt idx="58">
                  <c:v>-2.9228773895226593E-3</c:v>
                </c:pt>
                <c:pt idx="59">
                  <c:v>5.3472961891206622E-2</c:v>
                </c:pt>
                <c:pt idx="60">
                  <c:v>0.10747646827243108</c:v>
                </c:pt>
                <c:pt idx="61">
                  <c:v>-4.6939632885211555E-3</c:v>
                </c:pt>
                <c:pt idx="62">
                  <c:v>4.984780226470218E-2</c:v>
                </c:pt>
                <c:pt idx="63">
                  <c:v>-6.0826065441949538E-2</c:v>
                </c:pt>
                <c:pt idx="64">
                  <c:v>8.8162411808774183E-2</c:v>
                </c:pt>
                <c:pt idx="65">
                  <c:v>2.1796365507119147E-2</c:v>
                </c:pt>
                <c:pt idx="66">
                  <c:v>-3.1201178744104337E-2</c:v>
                </c:pt>
                <c:pt idx="67">
                  <c:v>5.6173334861858758E-3</c:v>
                </c:pt>
                <c:pt idx="68">
                  <c:v>-2.9274965800273584E-2</c:v>
                </c:pt>
                <c:pt idx="69">
                  <c:v>-8.1877113866967249E-2</c:v>
                </c:pt>
                <c:pt idx="70">
                  <c:v>-1.8112049117421342E-2</c:v>
                </c:pt>
                <c:pt idx="71">
                  <c:v>5.1282719330241568E-2</c:v>
                </c:pt>
                <c:pt idx="72">
                  <c:v>3.139998843462672E-2</c:v>
                </c:pt>
                <c:pt idx="73">
                  <c:v>8.8104315509665305E-5</c:v>
                </c:pt>
                <c:pt idx="74">
                  <c:v>1.5232695033756983E-2</c:v>
                </c:pt>
                <c:pt idx="75">
                  <c:v>3.4709896264728209E-4</c:v>
                </c:pt>
                <c:pt idx="76">
                  <c:v>-2.1205119510444743E-2</c:v>
                </c:pt>
                <c:pt idx="77">
                  <c:v>2.2437963261359901E-2</c:v>
                </c:pt>
                <c:pt idx="78">
                  <c:v>4.1408927938221471E-2</c:v>
                </c:pt>
                <c:pt idx="79">
                  <c:v>-3.2157990314769978E-2</c:v>
                </c:pt>
                <c:pt idx="80">
                  <c:v>-6.1762176530371854E-3</c:v>
                </c:pt>
                <c:pt idx="81">
                  <c:v>2.4858401510382743E-3</c:v>
                </c:pt>
                <c:pt idx="82">
                  <c:v>2.2042436987978396E-2</c:v>
                </c:pt>
                <c:pt idx="83">
                  <c:v>3.24388652155553E-2</c:v>
                </c:pt>
                <c:pt idx="84">
                  <c:v>-2.0108574403212585E-2</c:v>
                </c:pt>
                <c:pt idx="85">
                  <c:v>4.8115598864653386E-3</c:v>
                </c:pt>
                <c:pt idx="86">
                  <c:v>-6.8353474320241346E-3</c:v>
                </c:pt>
                <c:pt idx="87">
                  <c:v>-1.2951062778052377E-2</c:v>
                </c:pt>
                <c:pt idx="88">
                  <c:v>-3.5187068540433977E-2</c:v>
                </c:pt>
                <c:pt idx="89">
                  <c:v>-2.3030545018965797E-2</c:v>
                </c:pt>
                <c:pt idx="90">
                  <c:v>-1.8554695482299509E-2</c:v>
                </c:pt>
                <c:pt idx="91">
                  <c:v>-7.5122219353548998E-3</c:v>
                </c:pt>
                <c:pt idx="92">
                  <c:v>1.883879196770976E-2</c:v>
                </c:pt>
                <c:pt idx="93">
                  <c:v>6.3748826329747873E-3</c:v>
                </c:pt>
                <c:pt idx="94">
                  <c:v>4.9800307722525868E-2</c:v>
                </c:pt>
                <c:pt idx="95">
                  <c:v>2.9491787047936764E-2</c:v>
                </c:pt>
                <c:pt idx="96">
                  <c:v>-5.9823105349244747E-3</c:v>
                </c:pt>
                <c:pt idx="97">
                  <c:v>-1.5815214907135122E-2</c:v>
                </c:pt>
                <c:pt idx="98">
                  <c:v>-6.6181593002555784E-3</c:v>
                </c:pt>
                <c:pt idx="99">
                  <c:v>1.7064713445280003E-2</c:v>
                </c:pt>
                <c:pt idx="100">
                  <c:v>7.9563302049415752E-2</c:v>
                </c:pt>
                <c:pt idx="101">
                  <c:v>3.1580441416507316E-3</c:v>
                </c:pt>
                <c:pt idx="102">
                  <c:v>7.5200735736266816E-2</c:v>
                </c:pt>
                <c:pt idx="103">
                  <c:v>-3.1483370069414686E-2</c:v>
                </c:pt>
                <c:pt idx="104">
                  <c:v>2.7961956521739186E-2</c:v>
                </c:pt>
                <c:pt idx="105">
                  <c:v>-3.2554389489545053E-2</c:v>
                </c:pt>
                <c:pt idx="106">
                  <c:v>3.627980053282321E-2</c:v>
                </c:pt>
                <c:pt idx="107">
                  <c:v>4.7989136525138233E-2</c:v>
                </c:pt>
                <c:pt idx="108">
                  <c:v>-3.1890603279636789E-3</c:v>
                </c:pt>
                <c:pt idx="109">
                  <c:v>-8.6386410389086253E-3</c:v>
                </c:pt>
                <c:pt idx="110">
                  <c:v>6.9405811400019071E-2</c:v>
                </c:pt>
                <c:pt idx="111">
                  <c:v>2.7504478926724186E-2</c:v>
                </c:pt>
                <c:pt idx="112">
                  <c:v>3.1495105138156822E-2</c:v>
                </c:pt>
                <c:pt idx="113">
                  <c:v>0.10895898734745908</c:v>
                </c:pt>
                <c:pt idx="114">
                  <c:v>-2.5016584881677904E-3</c:v>
                </c:pt>
                <c:pt idx="115">
                  <c:v>-4.2802386089605252E-2</c:v>
                </c:pt>
                <c:pt idx="116">
                  <c:v>-3.97254752206382E-3</c:v>
                </c:pt>
                <c:pt idx="117">
                  <c:v>-5.3744774887510352E-2</c:v>
                </c:pt>
                <c:pt idx="118">
                  <c:v>6.7230532014271094E-2</c:v>
                </c:pt>
                <c:pt idx="119">
                  <c:v>-2.657541036335551E-2</c:v>
                </c:pt>
                <c:pt idx="120">
                  <c:v>-6.0993776034754491E-2</c:v>
                </c:pt>
                <c:pt idx="121">
                  <c:v>-1.5275542402898209E-2</c:v>
                </c:pt>
                <c:pt idx="122">
                  <c:v>3.6074774020070137E-2</c:v>
                </c:pt>
                <c:pt idx="123">
                  <c:v>7.7898212700512837E-2</c:v>
                </c:pt>
                <c:pt idx="124">
                  <c:v>-7.1633899158605907E-2</c:v>
                </c:pt>
                <c:pt idx="125">
                  <c:v>2.4737258447282164E-2</c:v>
                </c:pt>
                <c:pt idx="126">
                  <c:v>-8.2709337332714073E-5</c:v>
                </c:pt>
                <c:pt idx="127">
                  <c:v>-3.1305316444527762E-2</c:v>
                </c:pt>
                <c:pt idx="128">
                  <c:v>1.4886204501724785E-2</c:v>
                </c:pt>
                <c:pt idx="129">
                  <c:v>-5.0650377774412152E-3</c:v>
                </c:pt>
                <c:pt idx="130">
                  <c:v>3.0787358071463274E-2</c:v>
                </c:pt>
                <c:pt idx="131">
                  <c:v>-1.7457982159167395E-2</c:v>
                </c:pt>
                <c:pt idx="132">
                  <c:v>6.2027197782317578E-2</c:v>
                </c:pt>
                <c:pt idx="133">
                  <c:v>1.5372923109177591E-2</c:v>
                </c:pt>
                <c:pt idx="134">
                  <c:v>-2.1076485497333784E-2</c:v>
                </c:pt>
                <c:pt idx="135">
                  <c:v>-3.1275047458342212E-2</c:v>
                </c:pt>
                <c:pt idx="136">
                  <c:v>-1.6439042180840253E-2</c:v>
                </c:pt>
                <c:pt idx="137">
                  <c:v>-2.3061724842132099E-2</c:v>
                </c:pt>
                <c:pt idx="138">
                  <c:v>-3.088566864186899E-2</c:v>
                </c:pt>
                <c:pt idx="139">
                  <c:v>-2.9829894195358607E-2</c:v>
                </c:pt>
                <c:pt idx="140">
                  <c:v>-1.5997156061144793E-2</c:v>
                </c:pt>
                <c:pt idx="141">
                  <c:v>8.2865925345351324E-2</c:v>
                </c:pt>
                <c:pt idx="142">
                  <c:v>3.1637874975260848E-2</c:v>
                </c:pt>
                <c:pt idx="143">
                  <c:v>5.6720017540013164E-2</c:v>
                </c:pt>
                <c:pt idx="144">
                  <c:v>-5.2249102641243238E-2</c:v>
                </c:pt>
                <c:pt idx="145">
                  <c:v>7.7032537011192295E-2</c:v>
                </c:pt>
                <c:pt idx="146">
                  <c:v>1.1052390873519995E-2</c:v>
                </c:pt>
                <c:pt idx="147">
                  <c:v>-1.3746136255120315E-2</c:v>
                </c:pt>
                <c:pt idx="148">
                  <c:v>-2.1775467563573368E-2</c:v>
                </c:pt>
                <c:pt idx="149">
                  <c:v>2.324478919758077E-2</c:v>
                </c:pt>
                <c:pt idx="150">
                  <c:v>-1.244787927848123E-2</c:v>
                </c:pt>
                <c:pt idx="151">
                  <c:v>-4.7135183065771732E-2</c:v>
                </c:pt>
                <c:pt idx="152">
                  <c:v>7.2709664504331042E-2</c:v>
                </c:pt>
                <c:pt idx="153">
                  <c:v>2.6756443233973852E-2</c:v>
                </c:pt>
                <c:pt idx="154">
                  <c:v>1.318433009947201E-2</c:v>
                </c:pt>
                <c:pt idx="155">
                  <c:v>-1.2314614150170459E-2</c:v>
                </c:pt>
                <c:pt idx="156">
                  <c:v>2.9697769967454947E-3</c:v>
                </c:pt>
                <c:pt idx="157">
                  <c:v>9.2568665452908178E-2</c:v>
                </c:pt>
                <c:pt idx="158">
                  <c:v>2.3826588663220443E-2</c:v>
                </c:pt>
                <c:pt idx="159">
                  <c:v>1.8113643423740965E-2</c:v>
                </c:pt>
                <c:pt idx="160">
                  <c:v>-5.4147668427171974E-4</c:v>
                </c:pt>
                <c:pt idx="161">
                  <c:v>5.2624789849121285E-2</c:v>
                </c:pt>
                <c:pt idx="162">
                  <c:v>2.2437808913034717E-2</c:v>
                </c:pt>
                <c:pt idx="163">
                  <c:v>5.2520345341445993E-2</c:v>
                </c:pt>
                <c:pt idx="164">
                  <c:v>4.1491901658385649E-2</c:v>
                </c:pt>
                <c:pt idx="165">
                  <c:v>-3.2892339091770535E-2</c:v>
                </c:pt>
                <c:pt idx="166">
                  <c:v>-1.120762751785353E-2</c:v>
                </c:pt>
                <c:pt idx="167">
                  <c:v>6.7600169219569975E-2</c:v>
                </c:pt>
                <c:pt idx="168">
                  <c:v>2.0559192911558753E-2</c:v>
                </c:pt>
                <c:pt idx="169">
                  <c:v>9.2550292608359508E-2</c:v>
                </c:pt>
                <c:pt idx="170">
                  <c:v>5.2904733699393358E-2</c:v>
                </c:pt>
                <c:pt idx="171">
                  <c:v>2.4630616768887132E-4</c:v>
                </c:pt>
                <c:pt idx="172">
                  <c:v>4.3442573113637636E-3</c:v>
                </c:pt>
                <c:pt idx="173">
                  <c:v>-4.0469898810118051E-3</c:v>
                </c:pt>
                <c:pt idx="174">
                  <c:v>4.792239052736507E-2</c:v>
                </c:pt>
                <c:pt idx="175">
                  <c:v>0.11905742459396758</c:v>
                </c:pt>
                <c:pt idx="176">
                  <c:v>3.7260496927570483E-2</c:v>
                </c:pt>
                <c:pt idx="177">
                  <c:v>5.7054978662162539E-2</c:v>
                </c:pt>
                <c:pt idx="178">
                  <c:v>1.9963929722050862E-2</c:v>
                </c:pt>
                <c:pt idx="179">
                  <c:v>0.12751993585301818</c:v>
                </c:pt>
                <c:pt idx="180">
                  <c:v>8.4793488649326204E-2</c:v>
                </c:pt>
                <c:pt idx="181">
                  <c:v>-0.11479755205668911</c:v>
                </c:pt>
                <c:pt idx="182">
                  <c:v>-1.0577888317876047E-2</c:v>
                </c:pt>
                <c:pt idx="183">
                  <c:v>-1.8024527375345791E-2</c:v>
                </c:pt>
                <c:pt idx="184">
                  <c:v>-0.11693289890224648</c:v>
                </c:pt>
                <c:pt idx="185">
                  <c:v>8.5294176346146309E-3</c:v>
                </c:pt>
                <c:pt idx="186">
                  <c:v>0.10049051740557602</c:v>
                </c:pt>
                <c:pt idx="187">
                  <c:v>-3.7130359727754268E-2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243-4C5B-BFCD-62F820CF53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74982832"/>
        <c:axId val="813739840"/>
      </c:lineChart>
      <c:dateAx>
        <c:axId val="117498283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13739840"/>
        <c:crossesAt val="-0.15000000000000002"/>
        <c:auto val="1"/>
        <c:lblOffset val="100"/>
        <c:baseTimeUnit val="months"/>
        <c:majorUnit val="12"/>
        <c:majorTimeUnit val="months"/>
      </c:dateAx>
      <c:valAx>
        <c:axId val="813739840"/>
        <c:scaling>
          <c:orientation val="minMax"/>
          <c:max val="0.15000000000000002"/>
          <c:min val="-0.1500000000000000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74982832"/>
        <c:crosses val="autoZero"/>
        <c:crossBetween val="midCat"/>
        <c:majorUnit val="5.000000000000001E-2"/>
      </c:valAx>
    </c:plotArea>
    <c:plotVisOnly val="1"/>
    <c:dispBlanksAs val="gap"/>
    <c:showDLblsOverMax val="0"/>
    <c:extLst/>
  </c:chart>
  <c:txPr>
    <a:bodyPr/>
    <a:lstStyle/>
    <a:p>
      <a:pPr>
        <a:defRPr sz="12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l-SI" sz="1200"/>
              <a:t>Mesečna donosnost bitcoina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/>
          </c:spPr>
          <c:marker>
            <c:symbol val="none"/>
          </c:marker>
          <c:cat>
            <c:numRef>
              <c:f>analiza!$A$2:$A$190</c:f>
              <c:numCache>
                <c:formatCode>m/d/yyyy</c:formatCode>
                <c:ptCount val="189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  <c:pt idx="144">
                  <c:v>44927</c:v>
                </c:pt>
                <c:pt idx="145">
                  <c:v>44958</c:v>
                </c:pt>
                <c:pt idx="146">
                  <c:v>44986</c:v>
                </c:pt>
                <c:pt idx="147">
                  <c:v>45017</c:v>
                </c:pt>
                <c:pt idx="148">
                  <c:v>45047</c:v>
                </c:pt>
                <c:pt idx="149">
                  <c:v>45078</c:v>
                </c:pt>
                <c:pt idx="150">
                  <c:v>45108</c:v>
                </c:pt>
                <c:pt idx="151">
                  <c:v>45139</c:v>
                </c:pt>
                <c:pt idx="152">
                  <c:v>45170</c:v>
                </c:pt>
                <c:pt idx="153">
                  <c:v>45200</c:v>
                </c:pt>
                <c:pt idx="154">
                  <c:v>45231</c:v>
                </c:pt>
                <c:pt idx="155">
                  <c:v>45261</c:v>
                </c:pt>
                <c:pt idx="156">
                  <c:v>45292</c:v>
                </c:pt>
                <c:pt idx="157">
                  <c:v>45323</c:v>
                </c:pt>
                <c:pt idx="158">
                  <c:v>45352</c:v>
                </c:pt>
                <c:pt idx="159">
                  <c:v>45383</c:v>
                </c:pt>
                <c:pt idx="160">
                  <c:v>45413</c:v>
                </c:pt>
                <c:pt idx="161">
                  <c:v>45444</c:v>
                </c:pt>
                <c:pt idx="162">
                  <c:v>45474</c:v>
                </c:pt>
                <c:pt idx="163">
                  <c:v>45505</c:v>
                </c:pt>
                <c:pt idx="164">
                  <c:v>45536</c:v>
                </c:pt>
                <c:pt idx="165">
                  <c:v>45566</c:v>
                </c:pt>
                <c:pt idx="166">
                  <c:v>45597</c:v>
                </c:pt>
                <c:pt idx="167">
                  <c:v>45627</c:v>
                </c:pt>
                <c:pt idx="168">
                  <c:v>45658</c:v>
                </c:pt>
                <c:pt idx="169">
                  <c:v>45689</c:v>
                </c:pt>
                <c:pt idx="170">
                  <c:v>45717</c:v>
                </c:pt>
                <c:pt idx="171">
                  <c:v>45748</c:v>
                </c:pt>
                <c:pt idx="172">
                  <c:v>45778</c:v>
                </c:pt>
                <c:pt idx="173">
                  <c:v>45809</c:v>
                </c:pt>
                <c:pt idx="174">
                  <c:v>45839</c:v>
                </c:pt>
                <c:pt idx="175">
                  <c:v>45870</c:v>
                </c:pt>
                <c:pt idx="176">
                  <c:v>45901</c:v>
                </c:pt>
                <c:pt idx="177">
                  <c:v>45931</c:v>
                </c:pt>
                <c:pt idx="178">
                  <c:v>45962</c:v>
                </c:pt>
                <c:pt idx="179">
                  <c:v>45992</c:v>
                </c:pt>
                <c:pt idx="180">
                  <c:v>46023</c:v>
                </c:pt>
                <c:pt idx="181">
                  <c:v>46054</c:v>
                </c:pt>
                <c:pt idx="182">
                  <c:v>46082</c:v>
                </c:pt>
                <c:pt idx="183">
                  <c:v>46113</c:v>
                </c:pt>
                <c:pt idx="184">
                  <c:v>46143</c:v>
                </c:pt>
                <c:pt idx="185">
                  <c:v>46174</c:v>
                </c:pt>
                <c:pt idx="186">
                  <c:v>46204</c:v>
                </c:pt>
                <c:pt idx="187">
                  <c:v>46235</c:v>
                </c:pt>
                <c:pt idx="188">
                  <c:v>46266</c:v>
                </c:pt>
              </c:numCache>
            </c:numRef>
          </c:cat>
          <c:val>
            <c:numRef>
              <c:f>analiza!$G$2:$G$190</c:f>
              <c:numCache>
                <c:formatCode>0.00%</c:formatCode>
                <c:ptCount val="189"/>
                <c:pt idx="0">
                  <c:v>0.8</c:v>
                </c:pt>
                <c:pt idx="1">
                  <c:v>-0.11111111111111108</c:v>
                </c:pt>
                <c:pt idx="2">
                  <c:v>3.375</c:v>
                </c:pt>
                <c:pt idx="3">
                  <c:v>1.4857142857142855</c:v>
                </c:pt>
                <c:pt idx="4">
                  <c:v>0.85057471264367845</c:v>
                </c:pt>
                <c:pt idx="5">
                  <c:v>-0.16770186335403731</c:v>
                </c:pt>
                <c:pt idx="6">
                  <c:v>-0.38805970149253738</c:v>
                </c:pt>
                <c:pt idx="7">
                  <c:v>-0.37804878048780488</c:v>
                </c:pt>
                <c:pt idx="8">
                  <c:v>-0.3529411764705882</c:v>
                </c:pt>
                <c:pt idx="9">
                  <c:v>-9.0909090909090856E-2</c:v>
                </c:pt>
                <c:pt idx="10">
                  <c:v>0.56666666666666676</c:v>
                </c:pt>
                <c:pt idx="11">
                  <c:v>0.17021276595744678</c:v>
                </c:pt>
                <c:pt idx="12">
                  <c:v>-0.10909090909090903</c:v>
                </c:pt>
                <c:pt idx="13">
                  <c:v>0</c:v>
                </c:pt>
                <c:pt idx="14">
                  <c:v>0</c:v>
                </c:pt>
                <c:pt idx="15">
                  <c:v>6.1224489795918324E-2</c:v>
                </c:pt>
                <c:pt idx="16">
                  <c:v>0.28846153846153844</c:v>
                </c:pt>
                <c:pt idx="17">
                  <c:v>0.40298507462686567</c:v>
                </c:pt>
                <c:pt idx="18">
                  <c:v>8.5106382978723291E-2</c:v>
                </c:pt>
                <c:pt idx="19">
                  <c:v>0.21568627450980404</c:v>
                </c:pt>
                <c:pt idx="20">
                  <c:v>-9.6774193548387177E-2</c:v>
                </c:pt>
                <c:pt idx="21">
                  <c:v>0.12500000000000003</c:v>
                </c:pt>
                <c:pt idx="22">
                  <c:v>7.1428571428571452E-2</c:v>
                </c:pt>
                <c:pt idx="23">
                  <c:v>0.51111111111111096</c:v>
                </c:pt>
                <c:pt idx="24">
                  <c:v>0.63725490196078438</c:v>
                </c:pt>
                <c:pt idx="25">
                  <c:v>1.784431137724551</c:v>
                </c:pt>
                <c:pt idx="26">
                  <c:v>0.49677419354838698</c:v>
                </c:pt>
                <c:pt idx="27">
                  <c:v>-7.4712643678160759E-2</c:v>
                </c:pt>
                <c:pt idx="28">
                  <c:v>-0.2430124223602485</c:v>
                </c:pt>
                <c:pt idx="29">
                  <c:v>8.9230769230769266E-2</c:v>
                </c:pt>
                <c:pt idx="30">
                  <c:v>0.32768361581920902</c:v>
                </c:pt>
                <c:pt idx="31">
                  <c:v>6.3829787234042958E-3</c:v>
                </c:pt>
                <c:pt idx="32">
                  <c:v>0.48837209302325568</c:v>
                </c:pt>
                <c:pt idx="33">
                  <c:v>4.7088068181818183</c:v>
                </c:pt>
                <c:pt idx="34">
                  <c:v>-0.33159160653562253</c:v>
                </c:pt>
                <c:pt idx="35">
                  <c:v>0.16490879761757041</c:v>
                </c:pt>
                <c:pt idx="36">
                  <c:v>-0.38868768640818063</c:v>
                </c:pt>
                <c:pt idx="37">
                  <c:v>-0.22512632862868096</c:v>
                </c:pt>
                <c:pt idx="38">
                  <c:v>2.0238362941309516E-3</c:v>
                </c:pt>
                <c:pt idx="39">
                  <c:v>0.40911131059245948</c:v>
                </c:pt>
                <c:pt idx="40">
                  <c:v>1.1466794075489801E-2</c:v>
                </c:pt>
                <c:pt idx="41">
                  <c:v>-7.1799716580066161E-2</c:v>
                </c:pt>
                <c:pt idx="42">
                  <c:v>-0.18269720101781167</c:v>
                </c:pt>
                <c:pt idx="43">
                  <c:v>-0.19427148194271487</c:v>
                </c:pt>
                <c:pt idx="44">
                  <c:v>-0.12957238536836685</c:v>
                </c:pt>
                <c:pt idx="45">
                  <c:v>0.10949985202722699</c:v>
                </c:pt>
                <c:pt idx="46">
                  <c:v>-0.15124033075486795</c:v>
                </c:pt>
                <c:pt idx="47">
                  <c:v>-0.31332495285983658</c:v>
                </c:pt>
                <c:pt idx="48">
                  <c:v>0.16292906178489699</c:v>
                </c:pt>
                <c:pt idx="49">
                  <c:v>-3.9354584809130268E-2</c:v>
                </c:pt>
                <c:pt idx="50">
                  <c:v>-3.400245800901263E-2</c:v>
                </c:pt>
                <c:pt idx="51">
                  <c:v>-2.5445292620865138E-2</c:v>
                </c:pt>
                <c:pt idx="52">
                  <c:v>0.14926022628372501</c:v>
                </c:pt>
                <c:pt idx="53">
                  <c:v>7.4214312760317924E-2</c:v>
                </c:pt>
                <c:pt idx="54">
                  <c:v>-0.1910468805075784</c:v>
                </c:pt>
                <c:pt idx="55">
                  <c:v>2.788671023965144E-2</c:v>
                </c:pt>
                <c:pt idx="56">
                  <c:v>0.31920305214073752</c:v>
                </c:pt>
                <c:pt idx="57">
                  <c:v>0.21465295629820055</c:v>
                </c:pt>
                <c:pt idx="58">
                  <c:v>0.13756613756613756</c:v>
                </c:pt>
                <c:pt idx="59">
                  <c:v>-0.13999999999999999</c:v>
                </c:pt>
                <c:pt idx="60">
                  <c:v>0.17955651703623574</c:v>
                </c:pt>
                <c:pt idx="61">
                  <c:v>-4.6996790463090327E-2</c:v>
                </c:pt>
                <c:pt idx="62">
                  <c:v>7.8903055087803736E-2</c:v>
                </c:pt>
                <c:pt idx="63">
                  <c:v>0.17926421404682269</c:v>
                </c:pt>
                <c:pt idx="64">
                  <c:v>0.26678010966156179</c:v>
                </c:pt>
                <c:pt idx="65">
                  <c:v>-7.1791044776119431E-2</c:v>
                </c:pt>
                <c:pt idx="66">
                  <c:v>-7.7182826821032322E-2</c:v>
                </c:pt>
                <c:pt idx="67">
                  <c:v>5.9592263460533278E-2</c:v>
                </c:pt>
                <c:pt idx="68">
                  <c:v>0.14898865318204246</c:v>
                </c:pt>
                <c:pt idx="69">
                  <c:v>6.2687848862172532E-2</c:v>
                </c:pt>
                <c:pt idx="70">
                  <c:v>0.2975084175084175</c:v>
                </c:pt>
                <c:pt idx="71">
                  <c:v>2.1797799460245202E-3</c:v>
                </c:pt>
                <c:pt idx="72">
                  <c:v>0.23179699637493523</c:v>
                </c:pt>
                <c:pt idx="73">
                  <c:v>-9.2659547633061501E-2</c:v>
                </c:pt>
                <c:pt idx="74">
                  <c:v>0.25280326197757408</c:v>
                </c:pt>
                <c:pt idx="75">
                  <c:v>0.70375027738738072</c:v>
                </c:pt>
                <c:pt idx="76">
                  <c:v>7.697651196109917E-2</c:v>
                </c:pt>
                <c:pt idx="77">
                  <c:v>0.16233975651052177</c:v>
                </c:pt>
                <c:pt idx="78">
                  <c:v>0.64225019942427086</c:v>
                </c:pt>
                <c:pt idx="79">
                  <c:v>-7.9090198728643535E-2</c:v>
                </c:pt>
                <c:pt idx="80">
                  <c:v>0.47942943631610313</c:v>
                </c:pt>
                <c:pt idx="81">
                  <c:v>0.54185267857142849</c:v>
                </c:pt>
                <c:pt idx="82">
                  <c:v>0.39244782241524917</c:v>
                </c:pt>
                <c:pt idx="83">
                  <c:v>-0.25883728989776467</c:v>
                </c:pt>
                <c:pt idx="84">
                  <c:v>6.6729012020963624E-3</c:v>
                </c:pt>
                <c:pt idx="85">
                  <c:v>-0.32859810913595061</c:v>
                </c:pt>
                <c:pt idx="86">
                  <c:v>0.33249257732553122</c:v>
                </c:pt>
                <c:pt idx="87">
                  <c:v>-0.18847822089539323</c:v>
                </c:pt>
                <c:pt idx="88">
                  <c:v>-0.1471090022125664</c:v>
                </c:pt>
                <c:pt idx="89">
                  <c:v>0.20792636234352779</c:v>
                </c:pt>
                <c:pt idx="90">
                  <c:v>-8.9994048697182125E-2</c:v>
                </c:pt>
                <c:pt idx="91">
                  <c:v>-5.6669225738576641E-2</c:v>
                </c:pt>
                <c:pt idx="92">
                  <c:v>-4.0586568603810012E-2</c:v>
                </c:pt>
                <c:pt idx="93">
                  <c:v>-0.3654157306900831</c:v>
                </c:pt>
                <c:pt idx="94">
                  <c:v>-8.1763497289402617E-2</c:v>
                </c:pt>
                <c:pt idx="95">
                  <c:v>-7.3381139806976942E-2</c:v>
                </c:pt>
                <c:pt idx="96">
                  <c:v>0.11038054230187365</c:v>
                </c:pt>
                <c:pt idx="97">
                  <c:v>7.4857202745899562E-2</c:v>
                </c:pt>
                <c:pt idx="98">
                  <c:v>0.29702849620944349</c:v>
                </c:pt>
                <c:pt idx="99">
                  <c:v>0.60846113366411048</c:v>
                </c:pt>
                <c:pt idx="100">
                  <c:v>0.26410618931329838</c:v>
                </c:pt>
                <c:pt idx="101">
                  <c:v>-6.8086443717301715E-2</c:v>
                </c:pt>
                <c:pt idx="102">
                  <c:v>-4.83634199563579E-2</c:v>
                </c:pt>
                <c:pt idx="103">
                  <c:v>-0.13654840323522058</c:v>
                </c:pt>
                <c:pt idx="104">
                  <c:v>0.10481271803290576</c:v>
                </c:pt>
                <c:pt idx="105">
                  <c:v>-0.17546926556388348</c:v>
                </c:pt>
                <c:pt idx="106">
                  <c:v>-4.6405003577770214E-2</c:v>
                </c:pt>
                <c:pt idx="107">
                  <c:v>0.29913567895058651</c:v>
                </c:pt>
                <c:pt idx="108">
                  <c:v>-8.614732968948878E-2</c:v>
                </c:pt>
                <c:pt idx="109">
                  <c:v>-0.24944696091857163</c:v>
                </c:pt>
                <c:pt idx="110">
                  <c:v>0.3456530214424951</c:v>
                </c:pt>
                <c:pt idx="111">
                  <c:v>9.5700544674933274E-2</c:v>
                </c:pt>
                <c:pt idx="112">
                  <c:v>-3.3781782798155399E-2</c:v>
                </c:pt>
                <c:pt idx="113">
                  <c:v>0.24060249140705389</c:v>
                </c:pt>
                <c:pt idx="114">
                  <c:v>2.7423368097834817E-2</c:v>
                </c:pt>
                <c:pt idx="115">
                  <c:v>-7.4552137544872152E-2</c:v>
                </c:pt>
                <c:pt idx="116">
                  <c:v>0.28036116962537455</c:v>
                </c:pt>
                <c:pt idx="117">
                  <c:v>0.42767787900531262</c:v>
                </c:pt>
                <c:pt idx="118">
                  <c:v>0.46965443367634457</c:v>
                </c:pt>
                <c:pt idx="119">
                  <c:v>0.14365409991226061</c:v>
                </c:pt>
                <c:pt idx="120">
                  <c:v>0.36413747693162707</c:v>
                </c:pt>
                <c:pt idx="121">
                  <c:v>0.3011181471968824</c:v>
                </c:pt>
                <c:pt idx="122">
                  <c:v>-1.7755859484681773E-2</c:v>
                </c:pt>
                <c:pt idx="123">
                  <c:v>-0.35380446740574811</c:v>
                </c:pt>
                <c:pt idx="124">
                  <c:v>-6.0905771262192071E-2</c:v>
                </c:pt>
                <c:pt idx="125">
                  <c:v>0.18633678686952015</c:v>
                </c:pt>
                <c:pt idx="126">
                  <c:v>0.13420465566243209</c:v>
                </c:pt>
                <c:pt idx="127">
                  <c:v>-7.0169147726308251E-2</c:v>
                </c:pt>
                <c:pt idx="128">
                  <c:v>0.39901833043152829</c:v>
                </c:pt>
                <c:pt idx="129">
                  <c:v>-7.2202395709644124E-2</c:v>
                </c:pt>
                <c:pt idx="130">
                  <c:v>-0.18746231292708357</c:v>
                </c:pt>
                <c:pt idx="131">
                  <c:v>-0.16704854011834835</c:v>
                </c:pt>
                <c:pt idx="132">
                  <c:v>0.12181222174312829</c:v>
                </c:pt>
                <c:pt idx="133">
                  <c:v>5.4107371921034056E-2</c:v>
                </c:pt>
                <c:pt idx="134">
                  <c:v>-0.17298187808896212</c:v>
                </c:pt>
                <c:pt idx="135">
                  <c:v>-0.15555378486055774</c:v>
                </c:pt>
                <c:pt idx="136">
                  <c:v>-0.37324727773688887</c:v>
                </c:pt>
                <c:pt idx="137">
                  <c:v>0.16946192526572537</c:v>
                </c:pt>
                <c:pt idx="138">
                  <c:v>-0.13987229331342207</c:v>
                </c:pt>
                <c:pt idx="139">
                  <c:v>-3.0977005472986863E-2</c:v>
                </c:pt>
                <c:pt idx="140">
                  <c:v>5.5259228749420755E-2</c:v>
                </c:pt>
                <c:pt idx="141">
                  <c:v>-0.16258544225055244</c:v>
                </c:pt>
                <c:pt idx="142">
                  <c:v>-3.6501028321069218E-2</c:v>
                </c:pt>
                <c:pt idx="143">
                  <c:v>0.39835161512692424</c:v>
                </c:pt>
                <c:pt idx="144">
                  <c:v>2.3351250372977654E-4</c:v>
                </c:pt>
                <c:pt idx="145">
                  <c:v>0.23100235619636414</c:v>
                </c:pt>
                <c:pt idx="146">
                  <c:v>2.7337507945928975E-2</c:v>
                </c:pt>
                <c:pt idx="147">
                  <c:v>-6.9601840551618513E-2</c:v>
                </c:pt>
                <c:pt idx="148">
                  <c:v>0.1196644633139944</c:v>
                </c:pt>
                <c:pt idx="149">
                  <c:v>-4.0708301474424814E-2</c:v>
                </c:pt>
                <c:pt idx="150">
                  <c:v>-0.11272081662812503</c:v>
                </c:pt>
                <c:pt idx="151">
                  <c:v>3.9533798814834292E-2</c:v>
                </c:pt>
                <c:pt idx="152">
                  <c:v>0.28513094015065249</c:v>
                </c:pt>
                <c:pt idx="153">
                  <c:v>8.8376536048437926E-2</c:v>
                </c:pt>
                <c:pt idx="154">
                  <c:v>0.12090292711512501</c:v>
                </c:pt>
                <c:pt idx="155">
                  <c:v>7.2860606777455789E-3</c:v>
                </c:pt>
                <c:pt idx="156">
                  <c:v>0.43655663977642356</c:v>
                </c:pt>
                <c:pt idx="157">
                  <c:v>0.16614053127957973</c:v>
                </c:pt>
                <c:pt idx="158">
                  <c:v>-0.14951774799528966</c:v>
                </c:pt>
                <c:pt idx="159">
                  <c:v>0.11313473970850529</c:v>
                </c:pt>
                <c:pt idx="160">
                  <c:v>-7.07210562401063E-2</c:v>
                </c:pt>
                <c:pt idx="161">
                  <c:v>2.9825844603477324E-2</c:v>
                </c:pt>
                <c:pt idx="162">
                  <c:v>-8.7385881843221019E-2</c:v>
                </c:pt>
                <c:pt idx="163">
                  <c:v>7.3935291783799525E-2</c:v>
                </c:pt>
                <c:pt idx="164">
                  <c:v>0.10960984666683517</c:v>
                </c:pt>
                <c:pt idx="165">
                  <c:v>0.37170220455366815</c:v>
                </c:pt>
                <c:pt idx="166">
                  <c:v>-2.9547008112590853E-2</c:v>
                </c:pt>
                <c:pt idx="167">
                  <c:v>1.0463117750424434E-2</c:v>
                </c:pt>
                <c:pt idx="168">
                  <c:v>-0.10741822436085272</c:v>
                </c:pt>
                <c:pt idx="169">
                  <c:v>-2.1715737628760841E-2</c:v>
                </c:pt>
                <c:pt idx="170">
                  <c:v>0.14095419921307142</c:v>
                </c:pt>
                <c:pt idx="171">
                  <c:v>0.11056608100704582</c:v>
                </c:pt>
                <c:pt idx="172">
                  <c:v>2.4599896747547811E-2</c:v>
                </c:pt>
                <c:pt idx="173">
                  <c:v>8.0188595619527972E-2</c:v>
                </c:pt>
                <c:pt idx="174">
                  <c:v>-6.511639960264326E-2</c:v>
                </c:pt>
                <c:pt idx="175">
                  <c:v>5.3791667128659418E-2</c:v>
                </c:pt>
                <c:pt idx="176">
                  <c:v>-3.8980784490808711E-2</c:v>
                </c:pt>
                <c:pt idx="177">
                  <c:v>-0.17543894863999829</c:v>
                </c:pt>
                <c:pt idx="178">
                  <c:v>-3.0556287081932677E-2</c:v>
                </c:pt>
                <c:pt idx="179">
                  <c:v>-0.10142593482451742</c:v>
                </c:pt>
                <c:pt idx="180">
                  <c:v>-0.14901589680730123</c:v>
                </c:pt>
                <c:pt idx="181">
                  <c:v>1.9005895962385295E-2</c:v>
                </c:pt>
                <c:pt idx="182">
                  <c:v>0.11789219886828883</c:v>
                </c:pt>
                <c:pt idx="183">
                  <c:v>-3.482466462080349E-2</c:v>
                </c:pt>
                <c:pt idx="184">
                  <c:v>-0.20402286756929566</c:v>
                </c:pt>
                <c:pt idx="185">
                  <c:v>7.2397101864548952E-2</c:v>
                </c:pt>
                <c:pt idx="186">
                  <c:v>0.24961710046043376</c:v>
                </c:pt>
                <c:pt idx="187">
                  <c:v>6.7965885328170966E-2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78-4550-961C-DE41B517C3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74982832"/>
        <c:axId val="813739840"/>
      </c:lineChart>
      <c:dateAx>
        <c:axId val="117498283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13739840"/>
        <c:crossesAt val="-1"/>
        <c:auto val="1"/>
        <c:lblOffset val="100"/>
        <c:baseTimeUnit val="months"/>
        <c:majorUnit val="12"/>
        <c:majorTimeUnit val="months"/>
      </c:dateAx>
      <c:valAx>
        <c:axId val="813739840"/>
        <c:scaling>
          <c:orientation val="minMax"/>
          <c:max val="5"/>
          <c:min val="-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74982832"/>
        <c:crosses val="autoZero"/>
        <c:crossBetween val="midCat"/>
      </c:valAx>
    </c:plotArea>
    <c:plotVisOnly val="1"/>
    <c:dispBlanksAs val="gap"/>
    <c:showDLblsOverMax val="0"/>
    <c:extLst/>
  </c:chart>
  <c:txPr>
    <a:bodyPr/>
    <a:lstStyle/>
    <a:p>
      <a:pPr>
        <a:defRPr sz="12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l-SI" sz="1200"/>
              <a:t>Mesečna donosnost bitcoina (od januarja 2014 dalje)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/>
          </c:spPr>
          <c:marker>
            <c:symbol val="none"/>
          </c:marker>
          <c:cat>
            <c:numRef>
              <c:f>analiza!$A$38:$A$190</c:f>
              <c:numCache>
                <c:formatCode>m/d/yyyy</c:formatCode>
                <c:ptCount val="153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  <c:pt idx="120">
                  <c:v>45292</c:v>
                </c:pt>
                <c:pt idx="121">
                  <c:v>45323</c:v>
                </c:pt>
                <c:pt idx="122">
                  <c:v>45352</c:v>
                </c:pt>
                <c:pt idx="123">
                  <c:v>45383</c:v>
                </c:pt>
                <c:pt idx="124">
                  <c:v>45413</c:v>
                </c:pt>
                <c:pt idx="125">
                  <c:v>45444</c:v>
                </c:pt>
                <c:pt idx="126">
                  <c:v>45474</c:v>
                </c:pt>
                <c:pt idx="127">
                  <c:v>45505</c:v>
                </c:pt>
                <c:pt idx="128">
                  <c:v>45536</c:v>
                </c:pt>
                <c:pt idx="129">
                  <c:v>45566</c:v>
                </c:pt>
                <c:pt idx="130">
                  <c:v>45597</c:v>
                </c:pt>
                <c:pt idx="131">
                  <c:v>45627</c:v>
                </c:pt>
                <c:pt idx="132">
                  <c:v>45658</c:v>
                </c:pt>
                <c:pt idx="133">
                  <c:v>45689</c:v>
                </c:pt>
                <c:pt idx="134">
                  <c:v>45717</c:v>
                </c:pt>
                <c:pt idx="135">
                  <c:v>45748</c:v>
                </c:pt>
                <c:pt idx="136">
                  <c:v>45778</c:v>
                </c:pt>
                <c:pt idx="137">
                  <c:v>45809</c:v>
                </c:pt>
                <c:pt idx="138">
                  <c:v>45839</c:v>
                </c:pt>
                <c:pt idx="139">
                  <c:v>45870</c:v>
                </c:pt>
                <c:pt idx="140">
                  <c:v>45901</c:v>
                </c:pt>
                <c:pt idx="141">
                  <c:v>45931</c:v>
                </c:pt>
                <c:pt idx="142">
                  <c:v>45962</c:v>
                </c:pt>
                <c:pt idx="143">
                  <c:v>45992</c:v>
                </c:pt>
                <c:pt idx="144">
                  <c:v>46023</c:v>
                </c:pt>
                <c:pt idx="145">
                  <c:v>46054</c:v>
                </c:pt>
                <c:pt idx="146">
                  <c:v>46082</c:v>
                </c:pt>
                <c:pt idx="147">
                  <c:v>46113</c:v>
                </c:pt>
                <c:pt idx="148">
                  <c:v>46143</c:v>
                </c:pt>
                <c:pt idx="149">
                  <c:v>46174</c:v>
                </c:pt>
                <c:pt idx="150">
                  <c:v>46204</c:v>
                </c:pt>
                <c:pt idx="151">
                  <c:v>46235</c:v>
                </c:pt>
                <c:pt idx="152">
                  <c:v>46266</c:v>
                </c:pt>
              </c:numCache>
            </c:numRef>
          </c:cat>
          <c:val>
            <c:numRef>
              <c:f>analiza!$G$38:$G$190</c:f>
              <c:numCache>
                <c:formatCode>0.00%</c:formatCode>
                <c:ptCount val="153"/>
                <c:pt idx="0">
                  <c:v>-0.38868768640818063</c:v>
                </c:pt>
                <c:pt idx="1">
                  <c:v>-0.22512632862868096</c:v>
                </c:pt>
                <c:pt idx="2">
                  <c:v>2.0238362941309516E-3</c:v>
                </c:pt>
                <c:pt idx="3">
                  <c:v>0.40911131059245948</c:v>
                </c:pt>
                <c:pt idx="4">
                  <c:v>1.1466794075489801E-2</c:v>
                </c:pt>
                <c:pt idx="5">
                  <c:v>-7.1799716580066161E-2</c:v>
                </c:pt>
                <c:pt idx="6">
                  <c:v>-0.18269720101781167</c:v>
                </c:pt>
                <c:pt idx="7">
                  <c:v>-0.19427148194271487</c:v>
                </c:pt>
                <c:pt idx="8">
                  <c:v>-0.12957238536836685</c:v>
                </c:pt>
                <c:pt idx="9">
                  <c:v>0.10949985202722699</c:v>
                </c:pt>
                <c:pt idx="10">
                  <c:v>-0.15124033075486795</c:v>
                </c:pt>
                <c:pt idx="11">
                  <c:v>-0.31332495285983658</c:v>
                </c:pt>
                <c:pt idx="12">
                  <c:v>0.16292906178489699</c:v>
                </c:pt>
                <c:pt idx="13">
                  <c:v>-3.9354584809130268E-2</c:v>
                </c:pt>
                <c:pt idx="14">
                  <c:v>-3.400245800901263E-2</c:v>
                </c:pt>
                <c:pt idx="15">
                  <c:v>-2.5445292620865138E-2</c:v>
                </c:pt>
                <c:pt idx="16">
                  <c:v>0.14926022628372501</c:v>
                </c:pt>
                <c:pt idx="17">
                  <c:v>7.4214312760317924E-2</c:v>
                </c:pt>
                <c:pt idx="18">
                  <c:v>-0.1910468805075784</c:v>
                </c:pt>
                <c:pt idx="19">
                  <c:v>2.788671023965144E-2</c:v>
                </c:pt>
                <c:pt idx="20">
                  <c:v>0.31920305214073752</c:v>
                </c:pt>
                <c:pt idx="21">
                  <c:v>0.21465295629820055</c:v>
                </c:pt>
                <c:pt idx="22">
                  <c:v>0.13756613756613756</c:v>
                </c:pt>
                <c:pt idx="23">
                  <c:v>-0.13999999999999999</c:v>
                </c:pt>
                <c:pt idx="24">
                  <c:v>0.17955651703623574</c:v>
                </c:pt>
                <c:pt idx="25">
                  <c:v>-4.6996790463090327E-2</c:v>
                </c:pt>
                <c:pt idx="26">
                  <c:v>7.8903055087803736E-2</c:v>
                </c:pt>
                <c:pt idx="27">
                  <c:v>0.17926421404682269</c:v>
                </c:pt>
                <c:pt idx="28">
                  <c:v>0.26678010966156179</c:v>
                </c:pt>
                <c:pt idx="29">
                  <c:v>-7.1791044776119431E-2</c:v>
                </c:pt>
                <c:pt idx="30">
                  <c:v>-7.7182826821032322E-2</c:v>
                </c:pt>
                <c:pt idx="31">
                  <c:v>5.9592263460533278E-2</c:v>
                </c:pt>
                <c:pt idx="32">
                  <c:v>0.14898865318204246</c:v>
                </c:pt>
                <c:pt idx="33">
                  <c:v>6.2687848862172532E-2</c:v>
                </c:pt>
                <c:pt idx="34">
                  <c:v>0.2975084175084175</c:v>
                </c:pt>
                <c:pt idx="35">
                  <c:v>2.1797799460245202E-3</c:v>
                </c:pt>
                <c:pt idx="36">
                  <c:v>0.23179699637493523</c:v>
                </c:pt>
                <c:pt idx="37">
                  <c:v>-9.2659547633061501E-2</c:v>
                </c:pt>
                <c:pt idx="38">
                  <c:v>0.25280326197757408</c:v>
                </c:pt>
                <c:pt idx="39">
                  <c:v>0.70375027738738072</c:v>
                </c:pt>
                <c:pt idx="40">
                  <c:v>7.697651196109917E-2</c:v>
                </c:pt>
                <c:pt idx="41">
                  <c:v>0.16233975651052177</c:v>
                </c:pt>
                <c:pt idx="42">
                  <c:v>0.64225019942427086</c:v>
                </c:pt>
                <c:pt idx="43">
                  <c:v>-7.9090198728643535E-2</c:v>
                </c:pt>
                <c:pt idx="44">
                  <c:v>0.47942943631610313</c:v>
                </c:pt>
                <c:pt idx="45">
                  <c:v>0.54185267857142849</c:v>
                </c:pt>
                <c:pt idx="46">
                  <c:v>0.39244782241524917</c:v>
                </c:pt>
                <c:pt idx="47">
                  <c:v>-0.25883728989776467</c:v>
                </c:pt>
                <c:pt idx="48">
                  <c:v>6.6729012020963624E-3</c:v>
                </c:pt>
                <c:pt idx="49">
                  <c:v>-0.32859810913595061</c:v>
                </c:pt>
                <c:pt idx="50">
                  <c:v>0.33249257732553122</c:v>
                </c:pt>
                <c:pt idx="51">
                  <c:v>-0.18847822089539323</c:v>
                </c:pt>
                <c:pt idx="52">
                  <c:v>-0.1471090022125664</c:v>
                </c:pt>
                <c:pt idx="53">
                  <c:v>0.20792636234352779</c:v>
                </c:pt>
                <c:pt idx="54">
                  <c:v>-8.9994048697182125E-2</c:v>
                </c:pt>
                <c:pt idx="55">
                  <c:v>-5.6669225738576641E-2</c:v>
                </c:pt>
                <c:pt idx="56">
                  <c:v>-4.0586568603810012E-2</c:v>
                </c:pt>
                <c:pt idx="57">
                  <c:v>-0.3654157306900831</c:v>
                </c:pt>
                <c:pt idx="58">
                  <c:v>-8.1763497289402617E-2</c:v>
                </c:pt>
                <c:pt idx="59">
                  <c:v>-7.3381139806976942E-2</c:v>
                </c:pt>
                <c:pt idx="60">
                  <c:v>0.11038054230187365</c:v>
                </c:pt>
                <c:pt idx="61">
                  <c:v>7.4857202745899562E-2</c:v>
                </c:pt>
                <c:pt idx="62">
                  <c:v>0.29702849620944349</c:v>
                </c:pt>
                <c:pt idx="63">
                  <c:v>0.60846113366411048</c:v>
                </c:pt>
                <c:pt idx="64">
                  <c:v>0.26410618931329838</c:v>
                </c:pt>
                <c:pt idx="65">
                  <c:v>-6.8086443717301715E-2</c:v>
                </c:pt>
                <c:pt idx="66">
                  <c:v>-4.83634199563579E-2</c:v>
                </c:pt>
                <c:pt idx="67">
                  <c:v>-0.13654840323522058</c:v>
                </c:pt>
                <c:pt idx="68">
                  <c:v>0.10481271803290576</c:v>
                </c:pt>
                <c:pt idx="69">
                  <c:v>-0.17546926556388348</c:v>
                </c:pt>
                <c:pt idx="70">
                  <c:v>-4.6405003577770214E-2</c:v>
                </c:pt>
                <c:pt idx="71">
                  <c:v>0.29913567895058651</c:v>
                </c:pt>
                <c:pt idx="72">
                  <c:v>-8.614732968948878E-2</c:v>
                </c:pt>
                <c:pt idx="73">
                  <c:v>-0.24944696091857163</c:v>
                </c:pt>
                <c:pt idx="74">
                  <c:v>0.3456530214424951</c:v>
                </c:pt>
                <c:pt idx="75">
                  <c:v>9.5700544674933274E-2</c:v>
                </c:pt>
                <c:pt idx="76">
                  <c:v>-3.3781782798155399E-2</c:v>
                </c:pt>
                <c:pt idx="77">
                  <c:v>0.24060249140705389</c:v>
                </c:pt>
                <c:pt idx="78">
                  <c:v>2.7423368097834817E-2</c:v>
                </c:pt>
                <c:pt idx="79">
                  <c:v>-7.4552137544872152E-2</c:v>
                </c:pt>
                <c:pt idx="80">
                  <c:v>0.28036116962537455</c:v>
                </c:pt>
                <c:pt idx="81">
                  <c:v>0.42767787900531262</c:v>
                </c:pt>
                <c:pt idx="82">
                  <c:v>0.46965443367634457</c:v>
                </c:pt>
                <c:pt idx="83">
                  <c:v>0.14365409991226061</c:v>
                </c:pt>
                <c:pt idx="84">
                  <c:v>0.36413747693162707</c:v>
                </c:pt>
                <c:pt idx="85">
                  <c:v>0.3011181471968824</c:v>
                </c:pt>
                <c:pt idx="86">
                  <c:v>-1.7755859484681773E-2</c:v>
                </c:pt>
                <c:pt idx="87">
                  <c:v>-0.35380446740574811</c:v>
                </c:pt>
                <c:pt idx="88">
                  <c:v>-6.0905771262192071E-2</c:v>
                </c:pt>
                <c:pt idx="89">
                  <c:v>0.18633678686952015</c:v>
                </c:pt>
                <c:pt idx="90">
                  <c:v>0.13420465566243209</c:v>
                </c:pt>
                <c:pt idx="91">
                  <c:v>-7.0169147726308251E-2</c:v>
                </c:pt>
                <c:pt idx="92">
                  <c:v>0.39901833043152829</c:v>
                </c:pt>
                <c:pt idx="93">
                  <c:v>-7.2202395709644124E-2</c:v>
                </c:pt>
                <c:pt idx="94">
                  <c:v>-0.18746231292708357</c:v>
                </c:pt>
                <c:pt idx="95">
                  <c:v>-0.16704854011834835</c:v>
                </c:pt>
                <c:pt idx="96">
                  <c:v>0.12181222174312829</c:v>
                </c:pt>
                <c:pt idx="97">
                  <c:v>5.4107371921034056E-2</c:v>
                </c:pt>
                <c:pt idx="98">
                  <c:v>-0.17298187808896212</c:v>
                </c:pt>
                <c:pt idx="99">
                  <c:v>-0.15555378486055774</c:v>
                </c:pt>
                <c:pt idx="100">
                  <c:v>-0.37324727773688887</c:v>
                </c:pt>
                <c:pt idx="101">
                  <c:v>0.16946192526572537</c:v>
                </c:pt>
                <c:pt idx="102">
                  <c:v>-0.13987229331342207</c:v>
                </c:pt>
                <c:pt idx="103">
                  <c:v>-3.0977005472986863E-2</c:v>
                </c:pt>
                <c:pt idx="104">
                  <c:v>5.5259228749420755E-2</c:v>
                </c:pt>
                <c:pt idx="105">
                  <c:v>-0.16258544225055244</c:v>
                </c:pt>
                <c:pt idx="106">
                  <c:v>-3.6501028321069218E-2</c:v>
                </c:pt>
                <c:pt idx="107">
                  <c:v>0.39835161512692424</c:v>
                </c:pt>
                <c:pt idx="108">
                  <c:v>2.3351250372977654E-4</c:v>
                </c:pt>
                <c:pt idx="109">
                  <c:v>0.23100235619636414</c:v>
                </c:pt>
                <c:pt idx="110">
                  <c:v>2.7337507945928975E-2</c:v>
                </c:pt>
                <c:pt idx="111">
                  <c:v>-6.9601840551618513E-2</c:v>
                </c:pt>
                <c:pt idx="112">
                  <c:v>0.1196644633139944</c:v>
                </c:pt>
                <c:pt idx="113">
                  <c:v>-4.0708301474424814E-2</c:v>
                </c:pt>
                <c:pt idx="114">
                  <c:v>-0.11272081662812503</c:v>
                </c:pt>
                <c:pt idx="115">
                  <c:v>3.9533798814834292E-2</c:v>
                </c:pt>
                <c:pt idx="116">
                  <c:v>0.28513094015065249</c:v>
                </c:pt>
                <c:pt idx="117">
                  <c:v>8.8376536048437926E-2</c:v>
                </c:pt>
                <c:pt idx="118">
                  <c:v>0.12090292711512501</c:v>
                </c:pt>
                <c:pt idx="119">
                  <c:v>7.2860606777455789E-3</c:v>
                </c:pt>
                <c:pt idx="120">
                  <c:v>0.43655663977642356</c:v>
                </c:pt>
                <c:pt idx="121">
                  <c:v>0.16614053127957973</c:v>
                </c:pt>
                <c:pt idx="122">
                  <c:v>-0.14951774799528966</c:v>
                </c:pt>
                <c:pt idx="123">
                  <c:v>0.11313473970850529</c:v>
                </c:pt>
                <c:pt idx="124">
                  <c:v>-7.07210562401063E-2</c:v>
                </c:pt>
                <c:pt idx="125">
                  <c:v>2.9825844603477324E-2</c:v>
                </c:pt>
                <c:pt idx="126">
                  <c:v>-8.7385881843221019E-2</c:v>
                </c:pt>
                <c:pt idx="127">
                  <c:v>7.3935291783799525E-2</c:v>
                </c:pt>
                <c:pt idx="128">
                  <c:v>0.10960984666683517</c:v>
                </c:pt>
                <c:pt idx="129">
                  <c:v>0.37170220455366815</c:v>
                </c:pt>
                <c:pt idx="130">
                  <c:v>-2.9547008112590853E-2</c:v>
                </c:pt>
                <c:pt idx="131">
                  <c:v>1.0463117750424434E-2</c:v>
                </c:pt>
                <c:pt idx="132">
                  <c:v>-0.10741822436085272</c:v>
                </c:pt>
                <c:pt idx="133">
                  <c:v>-2.1715737628760841E-2</c:v>
                </c:pt>
                <c:pt idx="134">
                  <c:v>0.14095419921307142</c:v>
                </c:pt>
                <c:pt idx="135">
                  <c:v>0.11056608100704582</c:v>
                </c:pt>
                <c:pt idx="136">
                  <c:v>2.4599896747547811E-2</c:v>
                </c:pt>
                <c:pt idx="137">
                  <c:v>8.0188595619527972E-2</c:v>
                </c:pt>
                <c:pt idx="138">
                  <c:v>-6.511639960264326E-2</c:v>
                </c:pt>
                <c:pt idx="139">
                  <c:v>5.3791667128659418E-2</c:v>
                </c:pt>
                <c:pt idx="140">
                  <c:v>-3.8980784490808711E-2</c:v>
                </c:pt>
                <c:pt idx="141">
                  <c:v>-0.17543894863999829</c:v>
                </c:pt>
                <c:pt idx="142">
                  <c:v>-3.0556287081932677E-2</c:v>
                </c:pt>
                <c:pt idx="143">
                  <c:v>-0.10142593482451742</c:v>
                </c:pt>
                <c:pt idx="144">
                  <c:v>-0.14901589680730123</c:v>
                </c:pt>
                <c:pt idx="145">
                  <c:v>1.9005895962385295E-2</c:v>
                </c:pt>
                <c:pt idx="146">
                  <c:v>0.11789219886828883</c:v>
                </c:pt>
                <c:pt idx="147">
                  <c:v>-3.482466462080349E-2</c:v>
                </c:pt>
                <c:pt idx="148">
                  <c:v>-0.20402286756929566</c:v>
                </c:pt>
                <c:pt idx="149">
                  <c:v>7.2397101864548952E-2</c:v>
                </c:pt>
                <c:pt idx="150">
                  <c:v>0.24961710046043376</c:v>
                </c:pt>
                <c:pt idx="151">
                  <c:v>6.7965885328170966E-2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78-4550-961C-DE41B517C3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74982832"/>
        <c:axId val="813739840"/>
      </c:lineChart>
      <c:dateAx>
        <c:axId val="117498283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13739840"/>
        <c:crossesAt val="-0.5"/>
        <c:auto val="1"/>
        <c:lblOffset val="100"/>
        <c:baseTimeUnit val="months"/>
        <c:majorUnit val="12"/>
        <c:majorTimeUnit val="months"/>
      </c:dateAx>
      <c:valAx>
        <c:axId val="813739840"/>
        <c:scaling>
          <c:orientation val="minMax"/>
          <c:max val="0.8"/>
          <c:min val="-0.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74982832"/>
        <c:crosses val="autoZero"/>
        <c:crossBetween val="midCat"/>
      </c:valAx>
    </c:plotArea>
    <c:plotVisOnly val="1"/>
    <c:dispBlanksAs val="gap"/>
    <c:showDLblsOverMax val="0"/>
    <c:extLst/>
  </c:chart>
  <c:txPr>
    <a:bodyPr/>
    <a:lstStyle/>
    <a:p>
      <a:pPr>
        <a:defRPr sz="12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l-SI" sz="1200"/>
              <a:t>Mesečna d</a:t>
            </a:r>
            <a:r>
              <a:rPr lang="en-US" sz="1200"/>
              <a:t>onosnost zlata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'f)'!$K$7</c:f>
              <c:strCache>
                <c:ptCount val="1"/>
                <c:pt idx="0">
                  <c:v>Donosnost zlata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43F-4726-8A7B-3CCF0BC5920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43F-4726-8A7B-3CCF0BC5920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'f)'!$L$6:$M$6</c:f>
              <c:strCache>
                <c:ptCount val="2"/>
                <c:pt idx="0">
                  <c:v>Delež pozitivnih</c:v>
                </c:pt>
                <c:pt idx="1">
                  <c:v>Delež negativnih</c:v>
                </c:pt>
              </c:strCache>
            </c:strRef>
          </c:cat>
          <c:val>
            <c:numRef>
              <c:f>'f)'!$L$7:$M$7</c:f>
              <c:numCache>
                <c:formatCode>0.0%</c:formatCode>
                <c:ptCount val="2"/>
                <c:pt idx="0">
                  <c:v>0.52127659574468088</c:v>
                </c:pt>
                <c:pt idx="1">
                  <c:v>0.47872340425531917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A9-4B0C-9A39-38CEA3191C0A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l-SI" sz="1200"/>
              <a:t>Mesečna</a:t>
            </a:r>
            <a:r>
              <a:rPr lang="sl-SI" sz="1200" baseline="0"/>
              <a:t> d</a:t>
            </a:r>
            <a:r>
              <a:rPr lang="en-US" sz="1200"/>
              <a:t>onosnost </a:t>
            </a:r>
            <a:r>
              <a:rPr lang="sl-SI" sz="1200"/>
              <a:t>bitcoina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1"/>
          <c:order val="0"/>
          <c:tx>
            <c:strRef>
              <c:f>'f)'!$K$8</c:f>
              <c:strCache>
                <c:ptCount val="1"/>
                <c:pt idx="0">
                  <c:v>Donosnost bitcoina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062-4A97-8C64-BA843F7BDD9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062-4A97-8C64-BA843F7BDD9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'f)'!$L$6:$M$6</c:f>
              <c:strCache>
                <c:ptCount val="2"/>
                <c:pt idx="0">
                  <c:v>Delež pozitivnih</c:v>
                </c:pt>
                <c:pt idx="1">
                  <c:v>Delež negativnih</c:v>
                </c:pt>
              </c:strCache>
            </c:strRef>
          </c:cat>
          <c:val>
            <c:numRef>
              <c:f>'f)'!$L$8:$M$8</c:f>
              <c:numCache>
                <c:formatCode>0.0%</c:formatCode>
                <c:ptCount val="2"/>
                <c:pt idx="0">
                  <c:v>0.57978723404255317</c:v>
                </c:pt>
                <c:pt idx="1">
                  <c:v>0.42021276595744683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A9-4B0C-9A39-38CEA3191C0A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l-SI" sz="1200"/>
              <a:t>Povezanost donosnosti (od januarja 2014 dalje)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25400" cap="rnd">
                <a:solidFill>
                  <a:srgbClr val="FF0000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analiza!$F$38:$F$190</c:f>
              <c:numCache>
                <c:formatCode>0.00%</c:formatCode>
                <c:ptCount val="153"/>
                <c:pt idx="0">
                  <c:v>6.6441975884619336E-2</c:v>
                </c:pt>
                <c:pt idx="1">
                  <c:v>-3.1792365306722685E-2</c:v>
                </c:pt>
                <c:pt idx="2">
                  <c:v>5.9596148452836176E-3</c:v>
                </c:pt>
                <c:pt idx="3">
                  <c:v>-3.1441426790263932E-2</c:v>
                </c:pt>
                <c:pt idx="4">
                  <c:v>6.1166236237596844E-2</c:v>
                </c:pt>
                <c:pt idx="5">
                  <c:v>-3.3981570084162881E-2</c:v>
                </c:pt>
                <c:pt idx="6">
                  <c:v>3.8842826946626358E-3</c:v>
                </c:pt>
                <c:pt idx="7">
                  <c:v>-6.0859160729408605E-2</c:v>
                </c:pt>
                <c:pt idx="8">
                  <c:v>-2.8806856726839466E-2</c:v>
                </c:pt>
                <c:pt idx="9">
                  <c:v>-5.8607060106311403E-3</c:v>
                </c:pt>
                <c:pt idx="10">
                  <c:v>1.4146901562928428E-2</c:v>
                </c:pt>
                <c:pt idx="11">
                  <c:v>8.3857885175953703E-2</c:v>
                </c:pt>
                <c:pt idx="12">
                  <c:v>-5.4763018397256003E-2</c:v>
                </c:pt>
                <c:pt idx="13">
                  <c:v>-2.428765824089732E-2</c:v>
                </c:pt>
                <c:pt idx="14">
                  <c:v>6.3392781675259921E-4</c:v>
                </c:pt>
                <c:pt idx="15">
                  <c:v>4.9837394940238132E-3</c:v>
                </c:pt>
                <c:pt idx="16">
                  <c:v>-1.4750998108846359E-2</c:v>
                </c:pt>
                <c:pt idx="17">
                  <c:v>-6.5517829721890422E-2</c:v>
                </c:pt>
                <c:pt idx="18">
                  <c:v>3.5329559978090029E-2</c:v>
                </c:pt>
                <c:pt idx="19">
                  <c:v>-1.7194250947888196E-2</c:v>
                </c:pt>
                <c:pt idx="20">
                  <c:v>2.458280997667333E-2</c:v>
                </c:pt>
                <c:pt idx="21">
                  <c:v>-6.828371278458846E-2</c:v>
                </c:pt>
                <c:pt idx="22">
                  <c:v>-2.9228773895226593E-3</c:v>
                </c:pt>
                <c:pt idx="23">
                  <c:v>5.3472961891206622E-2</c:v>
                </c:pt>
                <c:pt idx="24">
                  <c:v>0.10747646827243108</c:v>
                </c:pt>
                <c:pt idx="25">
                  <c:v>-4.6939632885211555E-3</c:v>
                </c:pt>
                <c:pt idx="26">
                  <c:v>4.984780226470218E-2</c:v>
                </c:pt>
                <c:pt idx="27">
                  <c:v>-6.0826065441949538E-2</c:v>
                </c:pt>
                <c:pt idx="28">
                  <c:v>8.8162411808774183E-2</c:v>
                </c:pt>
                <c:pt idx="29">
                  <c:v>2.1796365507119147E-2</c:v>
                </c:pt>
                <c:pt idx="30">
                  <c:v>-3.1201178744104337E-2</c:v>
                </c:pt>
                <c:pt idx="31">
                  <c:v>5.6173334861858758E-3</c:v>
                </c:pt>
                <c:pt idx="32">
                  <c:v>-2.9274965800273584E-2</c:v>
                </c:pt>
                <c:pt idx="33">
                  <c:v>-8.1877113866967249E-2</c:v>
                </c:pt>
                <c:pt idx="34">
                  <c:v>-1.8112049117421342E-2</c:v>
                </c:pt>
                <c:pt idx="35">
                  <c:v>5.1282719330241568E-2</c:v>
                </c:pt>
                <c:pt idx="36">
                  <c:v>3.139998843462672E-2</c:v>
                </c:pt>
                <c:pt idx="37">
                  <c:v>8.8104315509665305E-5</c:v>
                </c:pt>
                <c:pt idx="38">
                  <c:v>1.5232695033756983E-2</c:v>
                </c:pt>
                <c:pt idx="39">
                  <c:v>3.4709896264728209E-4</c:v>
                </c:pt>
                <c:pt idx="40">
                  <c:v>-2.1205119510444743E-2</c:v>
                </c:pt>
                <c:pt idx="41">
                  <c:v>2.2437963261359901E-2</c:v>
                </c:pt>
                <c:pt idx="42">
                  <c:v>4.1408927938221471E-2</c:v>
                </c:pt>
                <c:pt idx="43">
                  <c:v>-3.2157990314769978E-2</c:v>
                </c:pt>
                <c:pt idx="44">
                  <c:v>-6.1762176530371854E-3</c:v>
                </c:pt>
                <c:pt idx="45">
                  <c:v>2.4858401510382743E-3</c:v>
                </c:pt>
                <c:pt idx="46">
                  <c:v>2.2042436987978396E-2</c:v>
                </c:pt>
                <c:pt idx="47">
                  <c:v>3.24388652155553E-2</c:v>
                </c:pt>
                <c:pt idx="48">
                  <c:v>-2.0108574403212585E-2</c:v>
                </c:pt>
                <c:pt idx="49">
                  <c:v>4.8115598864653386E-3</c:v>
                </c:pt>
                <c:pt idx="50">
                  <c:v>-6.8353474320241346E-3</c:v>
                </c:pt>
                <c:pt idx="51">
                  <c:v>-1.2951062778052377E-2</c:v>
                </c:pt>
                <c:pt idx="52">
                  <c:v>-3.5187068540433977E-2</c:v>
                </c:pt>
                <c:pt idx="53">
                  <c:v>-2.3030545018965797E-2</c:v>
                </c:pt>
                <c:pt idx="54">
                  <c:v>-1.8554695482299509E-2</c:v>
                </c:pt>
                <c:pt idx="55">
                  <c:v>-7.5122219353548998E-3</c:v>
                </c:pt>
                <c:pt idx="56">
                  <c:v>1.883879196770976E-2</c:v>
                </c:pt>
                <c:pt idx="57">
                  <c:v>6.3748826329747873E-3</c:v>
                </c:pt>
                <c:pt idx="58">
                  <c:v>4.9800307722525868E-2</c:v>
                </c:pt>
                <c:pt idx="59">
                  <c:v>2.9491787047936764E-2</c:v>
                </c:pt>
                <c:pt idx="60">
                  <c:v>-5.9823105349244747E-3</c:v>
                </c:pt>
                <c:pt idx="61">
                  <c:v>-1.5815214907135122E-2</c:v>
                </c:pt>
                <c:pt idx="62">
                  <c:v>-6.6181593002555784E-3</c:v>
                </c:pt>
                <c:pt idx="63">
                  <c:v>1.7064713445280003E-2</c:v>
                </c:pt>
                <c:pt idx="64">
                  <c:v>7.9563302049415752E-2</c:v>
                </c:pt>
                <c:pt idx="65">
                  <c:v>3.1580441416507316E-3</c:v>
                </c:pt>
                <c:pt idx="66">
                  <c:v>7.5200735736266816E-2</c:v>
                </c:pt>
                <c:pt idx="67">
                  <c:v>-3.1483370069414686E-2</c:v>
                </c:pt>
                <c:pt idx="68">
                  <c:v>2.7961956521739186E-2</c:v>
                </c:pt>
                <c:pt idx="69">
                  <c:v>-3.2554389489545053E-2</c:v>
                </c:pt>
                <c:pt idx="70">
                  <c:v>3.627980053282321E-2</c:v>
                </c:pt>
                <c:pt idx="71">
                  <c:v>4.7989136525138233E-2</c:v>
                </c:pt>
                <c:pt idx="72">
                  <c:v>-3.1890603279636789E-3</c:v>
                </c:pt>
                <c:pt idx="73">
                  <c:v>-8.6386410389086253E-3</c:v>
                </c:pt>
                <c:pt idx="74">
                  <c:v>6.9405811400019071E-2</c:v>
                </c:pt>
                <c:pt idx="75">
                  <c:v>2.7504478926724186E-2</c:v>
                </c:pt>
                <c:pt idx="76">
                  <c:v>3.1495105138156822E-2</c:v>
                </c:pt>
                <c:pt idx="77">
                  <c:v>0.10895898734745908</c:v>
                </c:pt>
                <c:pt idx="78">
                  <c:v>-2.5016584881677904E-3</c:v>
                </c:pt>
                <c:pt idx="79">
                  <c:v>-4.2802386089605252E-2</c:v>
                </c:pt>
                <c:pt idx="80">
                  <c:v>-3.97254752206382E-3</c:v>
                </c:pt>
                <c:pt idx="81">
                  <c:v>-5.3744774887510352E-2</c:v>
                </c:pt>
                <c:pt idx="82">
                  <c:v>6.7230532014271094E-2</c:v>
                </c:pt>
                <c:pt idx="83">
                  <c:v>-2.657541036335551E-2</c:v>
                </c:pt>
                <c:pt idx="84">
                  <c:v>-6.0993776034754491E-2</c:v>
                </c:pt>
                <c:pt idx="85">
                  <c:v>-1.5275542402898209E-2</c:v>
                </c:pt>
                <c:pt idx="86">
                  <c:v>3.6074774020070137E-2</c:v>
                </c:pt>
                <c:pt idx="87">
                  <c:v>7.7898212700512837E-2</c:v>
                </c:pt>
                <c:pt idx="88">
                  <c:v>-7.1633899158605907E-2</c:v>
                </c:pt>
                <c:pt idx="89">
                  <c:v>2.4737258447282164E-2</c:v>
                </c:pt>
                <c:pt idx="90">
                  <c:v>-8.2709337332714073E-5</c:v>
                </c:pt>
                <c:pt idx="91">
                  <c:v>-3.1305316444527762E-2</c:v>
                </c:pt>
                <c:pt idx="92">
                  <c:v>1.4886204501724785E-2</c:v>
                </c:pt>
                <c:pt idx="93">
                  <c:v>-5.0650377774412152E-3</c:v>
                </c:pt>
                <c:pt idx="94">
                  <c:v>3.0787358071463274E-2</c:v>
                </c:pt>
                <c:pt idx="95">
                  <c:v>-1.7457982159167395E-2</c:v>
                </c:pt>
                <c:pt idx="96">
                  <c:v>6.2027197782317578E-2</c:v>
                </c:pt>
                <c:pt idx="97">
                  <c:v>1.5372923109177591E-2</c:v>
                </c:pt>
                <c:pt idx="98">
                  <c:v>-2.1076485497333784E-2</c:v>
                </c:pt>
                <c:pt idx="99">
                  <c:v>-3.1275047458342212E-2</c:v>
                </c:pt>
                <c:pt idx="100">
                  <c:v>-1.6439042180840253E-2</c:v>
                </c:pt>
                <c:pt idx="101">
                  <c:v>-2.3061724842132099E-2</c:v>
                </c:pt>
                <c:pt idx="102">
                  <c:v>-3.088566864186899E-2</c:v>
                </c:pt>
                <c:pt idx="103">
                  <c:v>-2.9829894195358607E-2</c:v>
                </c:pt>
                <c:pt idx="104">
                  <c:v>-1.5997156061144793E-2</c:v>
                </c:pt>
                <c:pt idx="105">
                  <c:v>8.2865925345351324E-2</c:v>
                </c:pt>
                <c:pt idx="106">
                  <c:v>3.1637874975260848E-2</c:v>
                </c:pt>
                <c:pt idx="107">
                  <c:v>5.6720017540013164E-2</c:v>
                </c:pt>
                <c:pt idx="108">
                  <c:v>-5.2249102641243238E-2</c:v>
                </c:pt>
                <c:pt idx="109">
                  <c:v>7.7032537011192295E-2</c:v>
                </c:pt>
                <c:pt idx="110">
                  <c:v>1.1052390873519995E-2</c:v>
                </c:pt>
                <c:pt idx="111">
                  <c:v>-1.3746136255120315E-2</c:v>
                </c:pt>
                <c:pt idx="112">
                  <c:v>-2.1775467563573368E-2</c:v>
                </c:pt>
                <c:pt idx="113">
                  <c:v>2.324478919758077E-2</c:v>
                </c:pt>
                <c:pt idx="114">
                  <c:v>-1.244787927848123E-2</c:v>
                </c:pt>
                <c:pt idx="115">
                  <c:v>-4.7135183065771732E-2</c:v>
                </c:pt>
                <c:pt idx="116">
                  <c:v>7.2709664504331042E-2</c:v>
                </c:pt>
                <c:pt idx="117">
                  <c:v>2.6756443233973852E-2</c:v>
                </c:pt>
                <c:pt idx="118">
                  <c:v>1.318433009947201E-2</c:v>
                </c:pt>
                <c:pt idx="119">
                  <c:v>-1.2314614150170459E-2</c:v>
                </c:pt>
                <c:pt idx="120">
                  <c:v>2.9697769967454947E-3</c:v>
                </c:pt>
                <c:pt idx="121">
                  <c:v>9.2568665452908178E-2</c:v>
                </c:pt>
                <c:pt idx="122">
                  <c:v>2.3826588663220443E-2</c:v>
                </c:pt>
                <c:pt idx="123">
                  <c:v>1.8113643423740965E-2</c:v>
                </c:pt>
                <c:pt idx="124">
                  <c:v>-5.4147668427171974E-4</c:v>
                </c:pt>
                <c:pt idx="125">
                  <c:v>5.2624789849121285E-2</c:v>
                </c:pt>
                <c:pt idx="126">
                  <c:v>2.2437808913034717E-2</c:v>
                </c:pt>
                <c:pt idx="127">
                  <c:v>5.2520345341445993E-2</c:v>
                </c:pt>
                <c:pt idx="128">
                  <c:v>4.1491901658385649E-2</c:v>
                </c:pt>
                <c:pt idx="129">
                  <c:v>-3.2892339091770535E-2</c:v>
                </c:pt>
                <c:pt idx="130">
                  <c:v>-1.120762751785353E-2</c:v>
                </c:pt>
                <c:pt idx="131">
                  <c:v>6.7600169219569975E-2</c:v>
                </c:pt>
                <c:pt idx="132">
                  <c:v>2.0559192911558753E-2</c:v>
                </c:pt>
                <c:pt idx="133">
                  <c:v>9.2550292608359508E-2</c:v>
                </c:pt>
                <c:pt idx="134">
                  <c:v>5.2904733699393358E-2</c:v>
                </c:pt>
                <c:pt idx="135">
                  <c:v>2.4630616768887132E-4</c:v>
                </c:pt>
                <c:pt idx="136">
                  <c:v>4.3442573113637636E-3</c:v>
                </c:pt>
                <c:pt idx="137">
                  <c:v>-4.0469898810118051E-3</c:v>
                </c:pt>
                <c:pt idx="138">
                  <c:v>4.792239052736507E-2</c:v>
                </c:pt>
                <c:pt idx="139">
                  <c:v>0.11905742459396758</c:v>
                </c:pt>
                <c:pt idx="140">
                  <c:v>3.7260496927570483E-2</c:v>
                </c:pt>
                <c:pt idx="141">
                  <c:v>5.7054978662162539E-2</c:v>
                </c:pt>
                <c:pt idx="142">
                  <c:v>1.9963929722050862E-2</c:v>
                </c:pt>
                <c:pt idx="143">
                  <c:v>0.12751993585301818</c:v>
                </c:pt>
                <c:pt idx="144">
                  <c:v>8.4793488649326204E-2</c:v>
                </c:pt>
                <c:pt idx="145">
                  <c:v>-0.11479755205668911</c:v>
                </c:pt>
                <c:pt idx="146">
                  <c:v>-1.0577888317876047E-2</c:v>
                </c:pt>
                <c:pt idx="147">
                  <c:v>-1.8024527375345791E-2</c:v>
                </c:pt>
                <c:pt idx="148">
                  <c:v>-0.11693289890224648</c:v>
                </c:pt>
                <c:pt idx="149">
                  <c:v>8.5294176346146309E-3</c:v>
                </c:pt>
                <c:pt idx="150">
                  <c:v>0.10049051740557602</c:v>
                </c:pt>
                <c:pt idx="151">
                  <c:v>-3.7130359727754268E-2</c:v>
                </c:pt>
              </c:numCache>
            </c:numRef>
          </c:xVal>
          <c:yVal>
            <c:numRef>
              <c:f>analiza!$G$38:$G$190</c:f>
              <c:numCache>
                <c:formatCode>0.00%</c:formatCode>
                <c:ptCount val="153"/>
                <c:pt idx="0">
                  <c:v>-0.38868768640818063</c:v>
                </c:pt>
                <c:pt idx="1">
                  <c:v>-0.22512632862868096</c:v>
                </c:pt>
                <c:pt idx="2">
                  <c:v>2.0238362941309516E-3</c:v>
                </c:pt>
                <c:pt idx="3">
                  <c:v>0.40911131059245948</c:v>
                </c:pt>
                <c:pt idx="4">
                  <c:v>1.1466794075489801E-2</c:v>
                </c:pt>
                <c:pt idx="5">
                  <c:v>-7.1799716580066161E-2</c:v>
                </c:pt>
                <c:pt idx="6">
                  <c:v>-0.18269720101781167</c:v>
                </c:pt>
                <c:pt idx="7">
                  <c:v>-0.19427148194271487</c:v>
                </c:pt>
                <c:pt idx="8">
                  <c:v>-0.12957238536836685</c:v>
                </c:pt>
                <c:pt idx="9">
                  <c:v>0.10949985202722699</c:v>
                </c:pt>
                <c:pt idx="10">
                  <c:v>-0.15124033075486795</c:v>
                </c:pt>
                <c:pt idx="11">
                  <c:v>-0.31332495285983658</c:v>
                </c:pt>
                <c:pt idx="12">
                  <c:v>0.16292906178489699</c:v>
                </c:pt>
                <c:pt idx="13">
                  <c:v>-3.9354584809130268E-2</c:v>
                </c:pt>
                <c:pt idx="14">
                  <c:v>-3.400245800901263E-2</c:v>
                </c:pt>
                <c:pt idx="15">
                  <c:v>-2.5445292620865138E-2</c:v>
                </c:pt>
                <c:pt idx="16">
                  <c:v>0.14926022628372501</c:v>
                </c:pt>
                <c:pt idx="17">
                  <c:v>7.4214312760317924E-2</c:v>
                </c:pt>
                <c:pt idx="18">
                  <c:v>-0.1910468805075784</c:v>
                </c:pt>
                <c:pt idx="19">
                  <c:v>2.788671023965144E-2</c:v>
                </c:pt>
                <c:pt idx="20">
                  <c:v>0.31920305214073752</c:v>
                </c:pt>
                <c:pt idx="21">
                  <c:v>0.21465295629820055</c:v>
                </c:pt>
                <c:pt idx="22">
                  <c:v>0.13756613756613756</c:v>
                </c:pt>
                <c:pt idx="23">
                  <c:v>-0.13999999999999999</c:v>
                </c:pt>
                <c:pt idx="24">
                  <c:v>0.17955651703623574</c:v>
                </c:pt>
                <c:pt idx="25">
                  <c:v>-4.6996790463090327E-2</c:v>
                </c:pt>
                <c:pt idx="26">
                  <c:v>7.8903055087803736E-2</c:v>
                </c:pt>
                <c:pt idx="27">
                  <c:v>0.17926421404682269</c:v>
                </c:pt>
                <c:pt idx="28">
                  <c:v>0.26678010966156179</c:v>
                </c:pt>
                <c:pt idx="29">
                  <c:v>-7.1791044776119431E-2</c:v>
                </c:pt>
                <c:pt idx="30">
                  <c:v>-7.7182826821032322E-2</c:v>
                </c:pt>
                <c:pt idx="31">
                  <c:v>5.9592263460533278E-2</c:v>
                </c:pt>
                <c:pt idx="32">
                  <c:v>0.14898865318204246</c:v>
                </c:pt>
                <c:pt idx="33">
                  <c:v>6.2687848862172532E-2</c:v>
                </c:pt>
                <c:pt idx="34">
                  <c:v>0.2975084175084175</c:v>
                </c:pt>
                <c:pt idx="35">
                  <c:v>2.1797799460245202E-3</c:v>
                </c:pt>
                <c:pt idx="36">
                  <c:v>0.23179699637493523</c:v>
                </c:pt>
                <c:pt idx="37">
                  <c:v>-9.2659547633061501E-2</c:v>
                </c:pt>
                <c:pt idx="38">
                  <c:v>0.25280326197757408</c:v>
                </c:pt>
                <c:pt idx="39">
                  <c:v>0.70375027738738072</c:v>
                </c:pt>
                <c:pt idx="40">
                  <c:v>7.697651196109917E-2</c:v>
                </c:pt>
                <c:pt idx="41">
                  <c:v>0.16233975651052177</c:v>
                </c:pt>
                <c:pt idx="42">
                  <c:v>0.64225019942427086</c:v>
                </c:pt>
                <c:pt idx="43">
                  <c:v>-7.9090198728643535E-2</c:v>
                </c:pt>
                <c:pt idx="44">
                  <c:v>0.47942943631610313</c:v>
                </c:pt>
                <c:pt idx="45">
                  <c:v>0.54185267857142849</c:v>
                </c:pt>
                <c:pt idx="46">
                  <c:v>0.39244782241524917</c:v>
                </c:pt>
                <c:pt idx="47">
                  <c:v>-0.25883728989776467</c:v>
                </c:pt>
                <c:pt idx="48">
                  <c:v>6.6729012020963624E-3</c:v>
                </c:pt>
                <c:pt idx="49">
                  <c:v>-0.32859810913595061</c:v>
                </c:pt>
                <c:pt idx="50">
                  <c:v>0.33249257732553122</c:v>
                </c:pt>
                <c:pt idx="51">
                  <c:v>-0.18847822089539323</c:v>
                </c:pt>
                <c:pt idx="52">
                  <c:v>-0.1471090022125664</c:v>
                </c:pt>
                <c:pt idx="53">
                  <c:v>0.20792636234352779</c:v>
                </c:pt>
                <c:pt idx="54">
                  <c:v>-8.9994048697182125E-2</c:v>
                </c:pt>
                <c:pt idx="55">
                  <c:v>-5.6669225738576641E-2</c:v>
                </c:pt>
                <c:pt idx="56">
                  <c:v>-4.0586568603810012E-2</c:v>
                </c:pt>
                <c:pt idx="57">
                  <c:v>-0.3654157306900831</c:v>
                </c:pt>
                <c:pt idx="58">
                  <c:v>-8.1763497289402617E-2</c:v>
                </c:pt>
                <c:pt idx="59">
                  <c:v>-7.3381139806976942E-2</c:v>
                </c:pt>
                <c:pt idx="60">
                  <c:v>0.11038054230187365</c:v>
                </c:pt>
                <c:pt idx="61">
                  <c:v>7.4857202745899562E-2</c:v>
                </c:pt>
                <c:pt idx="62">
                  <c:v>0.29702849620944349</c:v>
                </c:pt>
                <c:pt idx="63">
                  <c:v>0.60846113366411048</c:v>
                </c:pt>
                <c:pt idx="64">
                  <c:v>0.26410618931329838</c:v>
                </c:pt>
                <c:pt idx="65">
                  <c:v>-6.8086443717301715E-2</c:v>
                </c:pt>
                <c:pt idx="66">
                  <c:v>-4.83634199563579E-2</c:v>
                </c:pt>
                <c:pt idx="67">
                  <c:v>-0.13654840323522058</c:v>
                </c:pt>
                <c:pt idx="68">
                  <c:v>0.10481271803290576</c:v>
                </c:pt>
                <c:pt idx="69">
                  <c:v>-0.17546926556388348</c:v>
                </c:pt>
                <c:pt idx="70">
                  <c:v>-4.6405003577770214E-2</c:v>
                </c:pt>
                <c:pt idx="71">
                  <c:v>0.29913567895058651</c:v>
                </c:pt>
                <c:pt idx="72">
                  <c:v>-8.614732968948878E-2</c:v>
                </c:pt>
                <c:pt idx="73">
                  <c:v>-0.24944696091857163</c:v>
                </c:pt>
                <c:pt idx="74">
                  <c:v>0.3456530214424951</c:v>
                </c:pt>
                <c:pt idx="75">
                  <c:v>9.5700544674933274E-2</c:v>
                </c:pt>
                <c:pt idx="76">
                  <c:v>-3.3781782798155399E-2</c:v>
                </c:pt>
                <c:pt idx="77">
                  <c:v>0.24060249140705389</c:v>
                </c:pt>
                <c:pt idx="78">
                  <c:v>2.7423368097834817E-2</c:v>
                </c:pt>
                <c:pt idx="79">
                  <c:v>-7.4552137544872152E-2</c:v>
                </c:pt>
                <c:pt idx="80">
                  <c:v>0.28036116962537455</c:v>
                </c:pt>
                <c:pt idx="81">
                  <c:v>0.42767787900531262</c:v>
                </c:pt>
                <c:pt idx="82">
                  <c:v>0.46965443367634457</c:v>
                </c:pt>
                <c:pt idx="83">
                  <c:v>0.14365409991226061</c:v>
                </c:pt>
                <c:pt idx="84">
                  <c:v>0.36413747693162707</c:v>
                </c:pt>
                <c:pt idx="85">
                  <c:v>0.3011181471968824</c:v>
                </c:pt>
                <c:pt idx="86">
                  <c:v>-1.7755859484681773E-2</c:v>
                </c:pt>
                <c:pt idx="87">
                  <c:v>-0.35380446740574811</c:v>
                </c:pt>
                <c:pt idx="88">
                  <c:v>-6.0905771262192071E-2</c:v>
                </c:pt>
                <c:pt idx="89">
                  <c:v>0.18633678686952015</c:v>
                </c:pt>
                <c:pt idx="90">
                  <c:v>0.13420465566243209</c:v>
                </c:pt>
                <c:pt idx="91">
                  <c:v>-7.0169147726308251E-2</c:v>
                </c:pt>
                <c:pt idx="92">
                  <c:v>0.39901833043152829</c:v>
                </c:pt>
                <c:pt idx="93">
                  <c:v>-7.2202395709644124E-2</c:v>
                </c:pt>
                <c:pt idx="94">
                  <c:v>-0.18746231292708357</c:v>
                </c:pt>
                <c:pt idx="95">
                  <c:v>-0.16704854011834835</c:v>
                </c:pt>
                <c:pt idx="96">
                  <c:v>0.12181222174312829</c:v>
                </c:pt>
                <c:pt idx="97">
                  <c:v>5.4107371921034056E-2</c:v>
                </c:pt>
                <c:pt idx="98">
                  <c:v>-0.17298187808896212</c:v>
                </c:pt>
                <c:pt idx="99">
                  <c:v>-0.15555378486055774</c:v>
                </c:pt>
                <c:pt idx="100">
                  <c:v>-0.37324727773688887</c:v>
                </c:pt>
                <c:pt idx="101">
                  <c:v>0.16946192526572537</c:v>
                </c:pt>
                <c:pt idx="102">
                  <c:v>-0.13987229331342207</c:v>
                </c:pt>
                <c:pt idx="103">
                  <c:v>-3.0977005472986863E-2</c:v>
                </c:pt>
                <c:pt idx="104">
                  <c:v>5.5259228749420755E-2</c:v>
                </c:pt>
                <c:pt idx="105">
                  <c:v>-0.16258544225055244</c:v>
                </c:pt>
                <c:pt idx="106">
                  <c:v>-3.6501028321069218E-2</c:v>
                </c:pt>
                <c:pt idx="107">
                  <c:v>0.39835161512692424</c:v>
                </c:pt>
                <c:pt idx="108">
                  <c:v>2.3351250372977654E-4</c:v>
                </c:pt>
                <c:pt idx="109">
                  <c:v>0.23100235619636414</c:v>
                </c:pt>
                <c:pt idx="110">
                  <c:v>2.7337507945928975E-2</c:v>
                </c:pt>
                <c:pt idx="111">
                  <c:v>-6.9601840551618513E-2</c:v>
                </c:pt>
                <c:pt idx="112">
                  <c:v>0.1196644633139944</c:v>
                </c:pt>
                <c:pt idx="113">
                  <c:v>-4.0708301474424814E-2</c:v>
                </c:pt>
                <c:pt idx="114">
                  <c:v>-0.11272081662812503</c:v>
                </c:pt>
                <c:pt idx="115">
                  <c:v>3.9533798814834292E-2</c:v>
                </c:pt>
                <c:pt idx="116">
                  <c:v>0.28513094015065249</c:v>
                </c:pt>
                <c:pt idx="117">
                  <c:v>8.8376536048437926E-2</c:v>
                </c:pt>
                <c:pt idx="118">
                  <c:v>0.12090292711512501</c:v>
                </c:pt>
                <c:pt idx="119">
                  <c:v>7.2860606777455789E-3</c:v>
                </c:pt>
                <c:pt idx="120">
                  <c:v>0.43655663977642356</c:v>
                </c:pt>
                <c:pt idx="121">
                  <c:v>0.16614053127957973</c:v>
                </c:pt>
                <c:pt idx="122">
                  <c:v>-0.14951774799528966</c:v>
                </c:pt>
                <c:pt idx="123">
                  <c:v>0.11313473970850529</c:v>
                </c:pt>
                <c:pt idx="124">
                  <c:v>-7.07210562401063E-2</c:v>
                </c:pt>
                <c:pt idx="125">
                  <c:v>2.9825844603477324E-2</c:v>
                </c:pt>
                <c:pt idx="126">
                  <c:v>-8.7385881843221019E-2</c:v>
                </c:pt>
                <c:pt idx="127">
                  <c:v>7.3935291783799525E-2</c:v>
                </c:pt>
                <c:pt idx="128">
                  <c:v>0.10960984666683517</c:v>
                </c:pt>
                <c:pt idx="129">
                  <c:v>0.37170220455366815</c:v>
                </c:pt>
                <c:pt idx="130">
                  <c:v>-2.9547008112590853E-2</c:v>
                </c:pt>
                <c:pt idx="131">
                  <c:v>1.0463117750424434E-2</c:v>
                </c:pt>
                <c:pt idx="132">
                  <c:v>-0.10741822436085272</c:v>
                </c:pt>
                <c:pt idx="133">
                  <c:v>-2.1715737628760841E-2</c:v>
                </c:pt>
                <c:pt idx="134">
                  <c:v>0.14095419921307142</c:v>
                </c:pt>
                <c:pt idx="135">
                  <c:v>0.11056608100704582</c:v>
                </c:pt>
                <c:pt idx="136">
                  <c:v>2.4599896747547811E-2</c:v>
                </c:pt>
                <c:pt idx="137">
                  <c:v>8.0188595619527972E-2</c:v>
                </c:pt>
                <c:pt idx="138">
                  <c:v>-6.511639960264326E-2</c:v>
                </c:pt>
                <c:pt idx="139">
                  <c:v>5.3791667128659418E-2</c:v>
                </c:pt>
                <c:pt idx="140">
                  <c:v>-3.8980784490808711E-2</c:v>
                </c:pt>
                <c:pt idx="141">
                  <c:v>-0.17543894863999829</c:v>
                </c:pt>
                <c:pt idx="142">
                  <c:v>-3.0556287081932677E-2</c:v>
                </c:pt>
                <c:pt idx="143">
                  <c:v>-0.10142593482451742</c:v>
                </c:pt>
                <c:pt idx="144">
                  <c:v>-0.14901589680730123</c:v>
                </c:pt>
                <c:pt idx="145">
                  <c:v>1.9005895962385295E-2</c:v>
                </c:pt>
                <c:pt idx="146">
                  <c:v>0.11789219886828883</c:v>
                </c:pt>
                <c:pt idx="147">
                  <c:v>-3.482466462080349E-2</c:v>
                </c:pt>
                <c:pt idx="148">
                  <c:v>-0.20402286756929566</c:v>
                </c:pt>
                <c:pt idx="149">
                  <c:v>7.2397101864548952E-2</c:v>
                </c:pt>
                <c:pt idx="150">
                  <c:v>0.24961710046043376</c:v>
                </c:pt>
                <c:pt idx="151">
                  <c:v>6.7965885328170966E-2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7FE-4A73-B6FB-756C2D760C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97236464"/>
        <c:axId val="1241228832"/>
      </c:scatterChart>
      <c:valAx>
        <c:axId val="1397236464"/>
        <c:scaling>
          <c:orientation val="minMax"/>
          <c:max val="0.15000000000000002"/>
          <c:min val="-0.1500000000000000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l-SI" sz="1200"/>
                  <a:t>Donosnost zlata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41228832"/>
        <c:crossesAt val="-0.4"/>
        <c:crossBetween val="midCat"/>
        <c:majorUnit val="5.000000000000001E-2"/>
      </c:valAx>
      <c:valAx>
        <c:axId val="1241228832"/>
        <c:scaling>
          <c:orientation val="minMax"/>
          <c:min val="-0.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l-SI" sz="1200"/>
                  <a:t>Donosnost bitcoina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97236464"/>
        <c:crossesAt val="-15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l-SI" sz="1200"/>
              <a:t>Povprečna mesečna donosnost zlata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'g)'!$D$27</c:f>
              <c:strCache>
                <c:ptCount val="1"/>
                <c:pt idx="0">
                  <c:v>Zlato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'g)'!$B$28:$B$39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Marec</c:v>
                </c:pt>
                <c:pt idx="3">
                  <c:v>April</c:v>
                </c:pt>
                <c:pt idx="4">
                  <c:v>Maj</c:v>
                </c:pt>
                <c:pt idx="5">
                  <c:v>Junij</c:v>
                </c:pt>
                <c:pt idx="6">
                  <c:v>Julij</c:v>
                </c:pt>
                <c:pt idx="7">
                  <c:v>Avgust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'g)'!$D$28:$D$39</c:f>
              <c:numCache>
                <c:formatCode>0.00%</c:formatCode>
                <c:ptCount val="12"/>
                <c:pt idx="0">
                  <c:v>1.0159507270512659E-2</c:v>
                </c:pt>
                <c:pt idx="1">
                  <c:v>4.7757599996369584E-3</c:v>
                </c:pt>
                <c:pt idx="2">
                  <c:v>1.4718476597491932E-2</c:v>
                </c:pt>
                <c:pt idx="3">
                  <c:v>-1.0299763540409457E-2</c:v>
                </c:pt>
                <c:pt idx="4">
                  <c:v>-8.9346821613776883E-3</c:v>
                </c:pt>
                <c:pt idx="5">
                  <c:v>1.7639469427879802E-2</c:v>
                </c:pt>
                <c:pt idx="6">
                  <c:v>2.8463930774738105E-2</c:v>
                </c:pt>
                <c:pt idx="7">
                  <c:v>-1.6988493862132852E-2</c:v>
                </c:pt>
                <c:pt idx="8">
                  <c:v>1.1894778006189185E-2</c:v>
                </c:pt>
                <c:pt idx="9">
                  <c:v>-9.6247521829425971E-3</c:v>
                </c:pt>
                <c:pt idx="10">
                  <c:v>5.8647666071957516E-3</c:v>
                </c:pt>
                <c:pt idx="11">
                  <c:v>4.2063015241659035E-2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7D-4D89-AA6C-695B374998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1360565184"/>
        <c:axId val="1241248992"/>
      </c:barChart>
      <c:catAx>
        <c:axId val="1360565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41248992"/>
        <c:crosses val="autoZero"/>
        <c:auto val="1"/>
        <c:lblAlgn val="ctr"/>
        <c:lblOffset val="100"/>
        <c:noMultiLvlLbl val="0"/>
      </c:catAx>
      <c:valAx>
        <c:axId val="1241248992"/>
        <c:scaling>
          <c:orientation val="minMax"/>
          <c:max val="4.5000000000000012E-2"/>
          <c:min val="-2.0000000000000004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605651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l-SI" sz="1200"/>
              <a:t>Povprečna mesečna donosnost zlata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'g)'!$D$27</c:f>
              <c:strCache>
                <c:ptCount val="1"/>
                <c:pt idx="0">
                  <c:v>Zlato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'g)'!$B$28:$B$39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Marec</c:v>
                </c:pt>
                <c:pt idx="3">
                  <c:v>April</c:v>
                </c:pt>
                <c:pt idx="4">
                  <c:v>Maj</c:v>
                </c:pt>
                <c:pt idx="5">
                  <c:v>Junij</c:v>
                </c:pt>
                <c:pt idx="6">
                  <c:v>Julij</c:v>
                </c:pt>
                <c:pt idx="7">
                  <c:v>Avgust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'g)'!$D$28:$D$39</c:f>
              <c:numCache>
                <c:formatCode>0.00%</c:formatCode>
                <c:ptCount val="12"/>
                <c:pt idx="0">
                  <c:v>1.0159507270512659E-2</c:v>
                </c:pt>
                <c:pt idx="1">
                  <c:v>4.7757599996369584E-3</c:v>
                </c:pt>
                <c:pt idx="2">
                  <c:v>1.4718476597491932E-2</c:v>
                </c:pt>
                <c:pt idx="3">
                  <c:v>-1.0299763540409457E-2</c:v>
                </c:pt>
                <c:pt idx="4">
                  <c:v>-8.9346821613776883E-3</c:v>
                </c:pt>
                <c:pt idx="5">
                  <c:v>1.7639469427879802E-2</c:v>
                </c:pt>
                <c:pt idx="6">
                  <c:v>2.8463930774738105E-2</c:v>
                </c:pt>
                <c:pt idx="7">
                  <c:v>-1.6988493862132852E-2</c:v>
                </c:pt>
                <c:pt idx="8">
                  <c:v>1.1894778006189185E-2</c:v>
                </c:pt>
                <c:pt idx="9">
                  <c:v>-9.6247521829425971E-3</c:v>
                </c:pt>
                <c:pt idx="10">
                  <c:v>5.8647666071957516E-3</c:v>
                </c:pt>
                <c:pt idx="11">
                  <c:v>4.2063015241659035E-2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D8-43DF-985D-1151D7B8DD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97230896"/>
        <c:axId val="1425698976"/>
      </c:radarChart>
      <c:catAx>
        <c:axId val="1397230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25698976"/>
        <c:crosses val="autoZero"/>
        <c:auto val="1"/>
        <c:lblAlgn val="ctr"/>
        <c:lblOffset val="100"/>
        <c:noMultiLvlLbl val="0"/>
      </c:catAx>
      <c:valAx>
        <c:axId val="1425698976"/>
        <c:scaling>
          <c:orientation val="minMax"/>
          <c:max val="4.0000000000000008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972308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l-SI" sz="1200"/>
              <a:t>Povprečna mesečna donosnost bitcoina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'g)'!$E$27</c:f>
              <c:strCache>
                <c:ptCount val="1"/>
                <c:pt idx="0">
                  <c:v>Bitcoin (od januarja 2014 dalje)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'g)'!$B$28:$B$39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Marec</c:v>
                </c:pt>
                <c:pt idx="3">
                  <c:v>April</c:v>
                </c:pt>
                <c:pt idx="4">
                  <c:v>Maj</c:v>
                </c:pt>
                <c:pt idx="5">
                  <c:v>Junij</c:v>
                </c:pt>
                <c:pt idx="6">
                  <c:v>Julij</c:v>
                </c:pt>
                <c:pt idx="7">
                  <c:v>Avgust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'g)'!$E$28:$E$39</c:f>
              <c:numCache>
                <c:formatCode>0.00%</c:formatCode>
                <c:ptCount val="12"/>
                <c:pt idx="0">
                  <c:v>6.7908210183778711E-2</c:v>
                </c:pt>
                <c:pt idx="1">
                  <c:v>-1.2128196455007758E-2</c:v>
                </c:pt>
                <c:pt idx="2">
                  <c:v>9.3910016214332453E-2</c:v>
                </c:pt>
                <c:pt idx="3">
                  <c:v>0.10709846385586706</c:v>
                </c:pt>
                <c:pt idx="4">
                  <c:v>1.7743410413470473E-3</c:v>
                </c:pt>
                <c:pt idx="5">
                  <c:v>7.468520543817761E-2</c:v>
                </c:pt>
                <c:pt idx="6">
                  <c:v>4.5473504044305927E-3</c:v>
                </c:pt>
                <c:pt idx="7">
                  <c:v>-2.4582460279513378E-2</c:v>
                </c:pt>
                <c:pt idx="8">
                  <c:v>0.1643894697360512</c:v>
                </c:pt>
                <c:pt idx="9">
                  <c:v>7.2111514376023811E-2</c:v>
                </c:pt>
                <c:pt idx="10">
                  <c:v>7.1217022518046388E-2</c:v>
                </c:pt>
                <c:pt idx="11">
                  <c:v>-1.6078958761956506E-2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7D-4D89-AA6C-695B374998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1360565184"/>
        <c:axId val="1241248992"/>
      </c:barChart>
      <c:catAx>
        <c:axId val="1360565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41248992"/>
        <c:crosses val="autoZero"/>
        <c:auto val="1"/>
        <c:lblAlgn val="ctr"/>
        <c:lblOffset val="100"/>
        <c:noMultiLvlLbl val="0"/>
      </c:catAx>
      <c:valAx>
        <c:axId val="1241248992"/>
        <c:scaling>
          <c:orientation val="minMax"/>
          <c:max val="0.2"/>
          <c:min val="-5.000000000000001E-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605651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l-SI"/>
              <a:t>Mesečna donosnost zlata (podrobno)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analiza!$F$1</c:f>
              <c:strCache>
                <c:ptCount val="1"/>
                <c:pt idx="0">
                  <c:v>DonosnostZlato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analiza!$E$2:$E$190</c:f>
              <c:numCache>
                <c:formatCode>General</c:formatCode>
                <c:ptCount val="18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</c:v>
                </c:pt>
                <c:pt idx="25">
                  <c:v>2</c:v>
                </c:pt>
                <c:pt idx="26">
                  <c:v>3</c:v>
                </c:pt>
                <c:pt idx="27">
                  <c:v>4</c:v>
                </c:pt>
                <c:pt idx="28">
                  <c:v>5</c:v>
                </c:pt>
                <c:pt idx="29">
                  <c:v>6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  <c:pt idx="33">
                  <c:v>10</c:v>
                </c:pt>
                <c:pt idx="34">
                  <c:v>11</c:v>
                </c:pt>
                <c:pt idx="35">
                  <c:v>12</c:v>
                </c:pt>
                <c:pt idx="36">
                  <c:v>1</c:v>
                </c:pt>
                <c:pt idx="37">
                  <c:v>2</c:v>
                </c:pt>
                <c:pt idx="38">
                  <c:v>3</c:v>
                </c:pt>
                <c:pt idx="39">
                  <c:v>4</c:v>
                </c:pt>
                <c:pt idx="40">
                  <c:v>5</c:v>
                </c:pt>
                <c:pt idx="41">
                  <c:v>6</c:v>
                </c:pt>
                <c:pt idx="42">
                  <c:v>7</c:v>
                </c:pt>
                <c:pt idx="43">
                  <c:v>8</c:v>
                </c:pt>
                <c:pt idx="44">
                  <c:v>9</c:v>
                </c:pt>
                <c:pt idx="45">
                  <c:v>10</c:v>
                </c:pt>
                <c:pt idx="46">
                  <c:v>11</c:v>
                </c:pt>
                <c:pt idx="47">
                  <c:v>12</c:v>
                </c:pt>
                <c:pt idx="48">
                  <c:v>1</c:v>
                </c:pt>
                <c:pt idx="49">
                  <c:v>2</c:v>
                </c:pt>
                <c:pt idx="50">
                  <c:v>3</c:v>
                </c:pt>
                <c:pt idx="51">
                  <c:v>4</c:v>
                </c:pt>
                <c:pt idx="52">
                  <c:v>5</c:v>
                </c:pt>
                <c:pt idx="53">
                  <c:v>6</c:v>
                </c:pt>
                <c:pt idx="54">
                  <c:v>7</c:v>
                </c:pt>
                <c:pt idx="55">
                  <c:v>8</c:v>
                </c:pt>
                <c:pt idx="56">
                  <c:v>9</c:v>
                </c:pt>
                <c:pt idx="57">
                  <c:v>10</c:v>
                </c:pt>
                <c:pt idx="58">
                  <c:v>11</c:v>
                </c:pt>
                <c:pt idx="59">
                  <c:v>12</c:v>
                </c:pt>
                <c:pt idx="60">
                  <c:v>1</c:v>
                </c:pt>
                <c:pt idx="61">
                  <c:v>2</c:v>
                </c:pt>
                <c:pt idx="62">
                  <c:v>3</c:v>
                </c:pt>
                <c:pt idx="63">
                  <c:v>4</c:v>
                </c:pt>
                <c:pt idx="64">
                  <c:v>5</c:v>
                </c:pt>
                <c:pt idx="65">
                  <c:v>6</c:v>
                </c:pt>
                <c:pt idx="66">
                  <c:v>7</c:v>
                </c:pt>
                <c:pt idx="67">
                  <c:v>8</c:v>
                </c:pt>
                <c:pt idx="68">
                  <c:v>9</c:v>
                </c:pt>
                <c:pt idx="69">
                  <c:v>10</c:v>
                </c:pt>
                <c:pt idx="70">
                  <c:v>11</c:v>
                </c:pt>
                <c:pt idx="71">
                  <c:v>12</c:v>
                </c:pt>
                <c:pt idx="72">
                  <c:v>1</c:v>
                </c:pt>
                <c:pt idx="73">
                  <c:v>2</c:v>
                </c:pt>
                <c:pt idx="74">
                  <c:v>3</c:v>
                </c:pt>
                <c:pt idx="75">
                  <c:v>4</c:v>
                </c:pt>
                <c:pt idx="76">
                  <c:v>5</c:v>
                </c:pt>
                <c:pt idx="77">
                  <c:v>6</c:v>
                </c:pt>
                <c:pt idx="78">
                  <c:v>7</c:v>
                </c:pt>
                <c:pt idx="79">
                  <c:v>8</c:v>
                </c:pt>
                <c:pt idx="80">
                  <c:v>9</c:v>
                </c:pt>
                <c:pt idx="81">
                  <c:v>10</c:v>
                </c:pt>
                <c:pt idx="82">
                  <c:v>11</c:v>
                </c:pt>
                <c:pt idx="83">
                  <c:v>12</c:v>
                </c:pt>
                <c:pt idx="84">
                  <c:v>1</c:v>
                </c:pt>
                <c:pt idx="85">
                  <c:v>2</c:v>
                </c:pt>
                <c:pt idx="86">
                  <c:v>3</c:v>
                </c:pt>
                <c:pt idx="87">
                  <c:v>4</c:v>
                </c:pt>
                <c:pt idx="88">
                  <c:v>5</c:v>
                </c:pt>
                <c:pt idx="89">
                  <c:v>6</c:v>
                </c:pt>
                <c:pt idx="90">
                  <c:v>7</c:v>
                </c:pt>
                <c:pt idx="91">
                  <c:v>8</c:v>
                </c:pt>
                <c:pt idx="92">
                  <c:v>9</c:v>
                </c:pt>
                <c:pt idx="93">
                  <c:v>10</c:v>
                </c:pt>
                <c:pt idx="94">
                  <c:v>11</c:v>
                </c:pt>
                <c:pt idx="95">
                  <c:v>12</c:v>
                </c:pt>
                <c:pt idx="96">
                  <c:v>1</c:v>
                </c:pt>
                <c:pt idx="97">
                  <c:v>2</c:v>
                </c:pt>
                <c:pt idx="98">
                  <c:v>3</c:v>
                </c:pt>
                <c:pt idx="99">
                  <c:v>4</c:v>
                </c:pt>
                <c:pt idx="100">
                  <c:v>5</c:v>
                </c:pt>
                <c:pt idx="101">
                  <c:v>6</c:v>
                </c:pt>
                <c:pt idx="102">
                  <c:v>7</c:v>
                </c:pt>
                <c:pt idx="103">
                  <c:v>8</c:v>
                </c:pt>
                <c:pt idx="104">
                  <c:v>9</c:v>
                </c:pt>
                <c:pt idx="105">
                  <c:v>10</c:v>
                </c:pt>
                <c:pt idx="106">
                  <c:v>11</c:v>
                </c:pt>
                <c:pt idx="107">
                  <c:v>12</c:v>
                </c:pt>
                <c:pt idx="108">
                  <c:v>1</c:v>
                </c:pt>
                <c:pt idx="109">
                  <c:v>2</c:v>
                </c:pt>
                <c:pt idx="110">
                  <c:v>3</c:v>
                </c:pt>
                <c:pt idx="111">
                  <c:v>4</c:v>
                </c:pt>
                <c:pt idx="112">
                  <c:v>5</c:v>
                </c:pt>
                <c:pt idx="113">
                  <c:v>6</c:v>
                </c:pt>
                <c:pt idx="114">
                  <c:v>7</c:v>
                </c:pt>
                <c:pt idx="115">
                  <c:v>8</c:v>
                </c:pt>
                <c:pt idx="116">
                  <c:v>9</c:v>
                </c:pt>
                <c:pt idx="117">
                  <c:v>10</c:v>
                </c:pt>
                <c:pt idx="118">
                  <c:v>11</c:v>
                </c:pt>
                <c:pt idx="119">
                  <c:v>12</c:v>
                </c:pt>
                <c:pt idx="120">
                  <c:v>1</c:v>
                </c:pt>
                <c:pt idx="121">
                  <c:v>2</c:v>
                </c:pt>
                <c:pt idx="122">
                  <c:v>3</c:v>
                </c:pt>
                <c:pt idx="123">
                  <c:v>4</c:v>
                </c:pt>
                <c:pt idx="124">
                  <c:v>5</c:v>
                </c:pt>
                <c:pt idx="125">
                  <c:v>6</c:v>
                </c:pt>
                <c:pt idx="126">
                  <c:v>7</c:v>
                </c:pt>
                <c:pt idx="127">
                  <c:v>8</c:v>
                </c:pt>
                <c:pt idx="128">
                  <c:v>9</c:v>
                </c:pt>
                <c:pt idx="129">
                  <c:v>10</c:v>
                </c:pt>
                <c:pt idx="130">
                  <c:v>11</c:v>
                </c:pt>
                <c:pt idx="131">
                  <c:v>12</c:v>
                </c:pt>
                <c:pt idx="132">
                  <c:v>1</c:v>
                </c:pt>
                <c:pt idx="133">
                  <c:v>2</c:v>
                </c:pt>
                <c:pt idx="134">
                  <c:v>3</c:v>
                </c:pt>
                <c:pt idx="135">
                  <c:v>4</c:v>
                </c:pt>
                <c:pt idx="136">
                  <c:v>5</c:v>
                </c:pt>
                <c:pt idx="137">
                  <c:v>6</c:v>
                </c:pt>
                <c:pt idx="138">
                  <c:v>7</c:v>
                </c:pt>
                <c:pt idx="139">
                  <c:v>8</c:v>
                </c:pt>
                <c:pt idx="140">
                  <c:v>9</c:v>
                </c:pt>
                <c:pt idx="141">
                  <c:v>10</c:v>
                </c:pt>
                <c:pt idx="142">
                  <c:v>11</c:v>
                </c:pt>
                <c:pt idx="143">
                  <c:v>12</c:v>
                </c:pt>
                <c:pt idx="144">
                  <c:v>1</c:v>
                </c:pt>
                <c:pt idx="145">
                  <c:v>2</c:v>
                </c:pt>
                <c:pt idx="146">
                  <c:v>3</c:v>
                </c:pt>
                <c:pt idx="147">
                  <c:v>4</c:v>
                </c:pt>
                <c:pt idx="148">
                  <c:v>5</c:v>
                </c:pt>
                <c:pt idx="149">
                  <c:v>6</c:v>
                </c:pt>
                <c:pt idx="150">
                  <c:v>7</c:v>
                </c:pt>
                <c:pt idx="151">
                  <c:v>8</c:v>
                </c:pt>
                <c:pt idx="152">
                  <c:v>9</c:v>
                </c:pt>
                <c:pt idx="153">
                  <c:v>10</c:v>
                </c:pt>
                <c:pt idx="154">
                  <c:v>11</c:v>
                </c:pt>
                <c:pt idx="155">
                  <c:v>12</c:v>
                </c:pt>
                <c:pt idx="156">
                  <c:v>1</c:v>
                </c:pt>
                <c:pt idx="157">
                  <c:v>2</c:v>
                </c:pt>
                <c:pt idx="158">
                  <c:v>3</c:v>
                </c:pt>
                <c:pt idx="159">
                  <c:v>4</c:v>
                </c:pt>
                <c:pt idx="160">
                  <c:v>5</c:v>
                </c:pt>
                <c:pt idx="161">
                  <c:v>6</c:v>
                </c:pt>
                <c:pt idx="162">
                  <c:v>7</c:v>
                </c:pt>
                <c:pt idx="163">
                  <c:v>8</c:v>
                </c:pt>
                <c:pt idx="164">
                  <c:v>9</c:v>
                </c:pt>
                <c:pt idx="165">
                  <c:v>10</c:v>
                </c:pt>
                <c:pt idx="166">
                  <c:v>11</c:v>
                </c:pt>
                <c:pt idx="167">
                  <c:v>12</c:v>
                </c:pt>
                <c:pt idx="168">
                  <c:v>1</c:v>
                </c:pt>
                <c:pt idx="169">
                  <c:v>2</c:v>
                </c:pt>
                <c:pt idx="170">
                  <c:v>3</c:v>
                </c:pt>
                <c:pt idx="171">
                  <c:v>4</c:v>
                </c:pt>
                <c:pt idx="172">
                  <c:v>5</c:v>
                </c:pt>
                <c:pt idx="173">
                  <c:v>6</c:v>
                </c:pt>
                <c:pt idx="174">
                  <c:v>7</c:v>
                </c:pt>
                <c:pt idx="175">
                  <c:v>8</c:v>
                </c:pt>
                <c:pt idx="176">
                  <c:v>9</c:v>
                </c:pt>
                <c:pt idx="177">
                  <c:v>10</c:v>
                </c:pt>
                <c:pt idx="178">
                  <c:v>11</c:v>
                </c:pt>
                <c:pt idx="179">
                  <c:v>12</c:v>
                </c:pt>
                <c:pt idx="180">
                  <c:v>1</c:v>
                </c:pt>
                <c:pt idx="181">
                  <c:v>2</c:v>
                </c:pt>
                <c:pt idx="182">
                  <c:v>3</c:v>
                </c:pt>
                <c:pt idx="183">
                  <c:v>4</c:v>
                </c:pt>
                <c:pt idx="184">
                  <c:v>5</c:v>
                </c:pt>
                <c:pt idx="185">
                  <c:v>6</c:v>
                </c:pt>
                <c:pt idx="186">
                  <c:v>7</c:v>
                </c:pt>
                <c:pt idx="187">
                  <c:v>8</c:v>
                </c:pt>
                <c:pt idx="188">
                  <c:v>9</c:v>
                </c:pt>
              </c:numCache>
            </c:numRef>
          </c:xVal>
          <c:yVal>
            <c:numRef>
              <c:f>analiza!$F$2:$F$190</c:f>
              <c:numCache>
                <c:formatCode>0.00%</c:formatCode>
                <c:ptCount val="189"/>
                <c:pt idx="0">
                  <c:v>5.9646146570684386E-2</c:v>
                </c:pt>
                <c:pt idx="1">
                  <c:v>1.4415754613395606E-2</c:v>
                </c:pt>
                <c:pt idx="2">
                  <c:v>9.3296089385474804E-2</c:v>
                </c:pt>
                <c:pt idx="3">
                  <c:v>-1.9321665815022995E-2</c:v>
                </c:pt>
                <c:pt idx="4">
                  <c:v>-2.2958934444914841E-2</c:v>
                </c:pt>
                <c:pt idx="5">
                  <c:v>8.4354376374908474E-2</c:v>
                </c:pt>
                <c:pt idx="6">
                  <c:v>0.12120690503122993</c:v>
                </c:pt>
                <c:pt idx="7">
                  <c:v>-0.10968856234236207</c:v>
                </c:pt>
                <c:pt idx="8">
                  <c:v>5.635103926096998E-2</c:v>
                </c:pt>
                <c:pt idx="9">
                  <c:v>1.7752514210756475E-2</c:v>
                </c:pt>
                <c:pt idx="10">
                  <c:v>-0.10391247064214933</c:v>
                </c:pt>
                <c:pt idx="11">
                  <c:v>0.11195422872850483</c:v>
                </c:pt>
                <c:pt idx="12">
                  <c:v>-2.5427870049384002E-2</c:v>
                </c:pt>
                <c:pt idx="13">
                  <c:v>-1.5514393581878217E-2</c:v>
                </c:pt>
                <c:pt idx="14">
                  <c:v>-2.7203547246690577E-3</c:v>
                </c:pt>
                <c:pt idx="15">
                  <c:v>-6.2282198562810843E-2</c:v>
                </c:pt>
                <c:pt idx="16">
                  <c:v>2.4283975139360457E-2</c:v>
                </c:pt>
                <c:pt idx="17">
                  <c:v>9.570874515200915E-3</c:v>
                </c:pt>
                <c:pt idx="18">
                  <c:v>4.7865419170952349E-2</c:v>
                </c:pt>
                <c:pt idx="19">
                  <c:v>4.7346480205777093E-2</c:v>
                </c:pt>
                <c:pt idx="20">
                  <c:v>-2.8607400548774333E-2</c:v>
                </c:pt>
                <c:pt idx="21">
                  <c:v>-3.5744384063234802E-3</c:v>
                </c:pt>
                <c:pt idx="22">
                  <c:v>-2.3366775548296879E-2</c:v>
                </c:pt>
                <c:pt idx="23">
                  <c:v>-6.7787904487737914E-3</c:v>
                </c:pt>
                <c:pt idx="24">
                  <c:v>-5.0048406785368531E-2</c:v>
                </c:pt>
                <c:pt idx="25">
                  <c:v>1.0387653820833596E-2</c:v>
                </c:pt>
                <c:pt idx="26">
                  <c:v>-7.4910567170163672E-2</c:v>
                </c:pt>
                <c:pt idx="27">
                  <c:v>-6.1086279290261294E-2</c:v>
                </c:pt>
                <c:pt idx="28">
                  <c:v>-0.11054529717253317</c:v>
                </c:pt>
                <c:pt idx="29">
                  <c:v>7.2457304117942739E-2</c:v>
                </c:pt>
                <c:pt idx="30">
                  <c:v>5.5350134972665235E-2</c:v>
                </c:pt>
                <c:pt idx="31">
                  <c:v>-4.9258789559286087E-2</c:v>
                </c:pt>
                <c:pt idx="32">
                  <c:v>-2.8260509141332687E-3</c:v>
                </c:pt>
                <c:pt idx="33">
                  <c:v>-5.3809354665618724E-2</c:v>
                </c:pt>
                <c:pt idx="34">
                  <c:v>-3.7580172365593939E-2</c:v>
                </c:pt>
                <c:pt idx="35">
                  <c:v>3.174431921921423E-2</c:v>
                </c:pt>
                <c:pt idx="36">
                  <c:v>6.6441975884619336E-2</c:v>
                </c:pt>
                <c:pt idx="37">
                  <c:v>-3.1792365306722685E-2</c:v>
                </c:pt>
                <c:pt idx="38">
                  <c:v>5.9596148452836176E-3</c:v>
                </c:pt>
                <c:pt idx="39">
                  <c:v>-3.1441426790263932E-2</c:v>
                </c:pt>
                <c:pt idx="40">
                  <c:v>6.1166236237596844E-2</c:v>
                </c:pt>
                <c:pt idx="41">
                  <c:v>-3.3981570084162881E-2</c:v>
                </c:pt>
                <c:pt idx="42">
                  <c:v>3.8842826946626358E-3</c:v>
                </c:pt>
                <c:pt idx="43">
                  <c:v>-6.0859160729408605E-2</c:v>
                </c:pt>
                <c:pt idx="44">
                  <c:v>-2.8806856726839466E-2</c:v>
                </c:pt>
                <c:pt idx="45">
                  <c:v>-5.8607060106311403E-3</c:v>
                </c:pt>
                <c:pt idx="46">
                  <c:v>1.4146901562928428E-2</c:v>
                </c:pt>
                <c:pt idx="47">
                  <c:v>8.3857885175953703E-2</c:v>
                </c:pt>
                <c:pt idx="48">
                  <c:v>-5.4763018397256003E-2</c:v>
                </c:pt>
                <c:pt idx="49">
                  <c:v>-2.428765824089732E-2</c:v>
                </c:pt>
                <c:pt idx="50">
                  <c:v>6.3392781675259921E-4</c:v>
                </c:pt>
                <c:pt idx="51">
                  <c:v>4.9837394940238132E-3</c:v>
                </c:pt>
                <c:pt idx="52">
                  <c:v>-1.4750998108846359E-2</c:v>
                </c:pt>
                <c:pt idx="53">
                  <c:v>-6.5517829721890422E-2</c:v>
                </c:pt>
                <c:pt idx="54">
                  <c:v>3.5329559978090029E-2</c:v>
                </c:pt>
                <c:pt idx="55">
                  <c:v>-1.7194250947888196E-2</c:v>
                </c:pt>
                <c:pt idx="56">
                  <c:v>2.458280997667333E-2</c:v>
                </c:pt>
                <c:pt idx="57">
                  <c:v>-6.828371278458846E-2</c:v>
                </c:pt>
                <c:pt idx="58">
                  <c:v>-2.9228773895226593E-3</c:v>
                </c:pt>
                <c:pt idx="59">
                  <c:v>5.3472961891206622E-2</c:v>
                </c:pt>
                <c:pt idx="60">
                  <c:v>0.10747646827243108</c:v>
                </c:pt>
                <c:pt idx="61">
                  <c:v>-4.6939632885211555E-3</c:v>
                </c:pt>
                <c:pt idx="62">
                  <c:v>4.984780226470218E-2</c:v>
                </c:pt>
                <c:pt idx="63">
                  <c:v>-6.0826065441949538E-2</c:v>
                </c:pt>
                <c:pt idx="64">
                  <c:v>8.8162411808774183E-2</c:v>
                </c:pt>
                <c:pt idx="65">
                  <c:v>2.1796365507119147E-2</c:v>
                </c:pt>
                <c:pt idx="66">
                  <c:v>-3.1201178744104337E-2</c:v>
                </c:pt>
                <c:pt idx="67">
                  <c:v>5.6173334861858758E-3</c:v>
                </c:pt>
                <c:pt idx="68">
                  <c:v>-2.9274965800273584E-2</c:v>
                </c:pt>
                <c:pt idx="69">
                  <c:v>-8.1877113866967249E-2</c:v>
                </c:pt>
                <c:pt idx="70">
                  <c:v>-1.8112049117421342E-2</c:v>
                </c:pt>
                <c:pt idx="71">
                  <c:v>5.1282719330241568E-2</c:v>
                </c:pt>
                <c:pt idx="72">
                  <c:v>3.139998843462672E-2</c:v>
                </c:pt>
                <c:pt idx="73">
                  <c:v>8.8104315509665305E-5</c:v>
                </c:pt>
                <c:pt idx="74">
                  <c:v>1.5232695033756983E-2</c:v>
                </c:pt>
                <c:pt idx="75">
                  <c:v>3.4709896264728209E-4</c:v>
                </c:pt>
                <c:pt idx="76">
                  <c:v>-2.1205119510444743E-2</c:v>
                </c:pt>
                <c:pt idx="77">
                  <c:v>2.2437963261359901E-2</c:v>
                </c:pt>
                <c:pt idx="78">
                  <c:v>4.1408927938221471E-2</c:v>
                </c:pt>
                <c:pt idx="79">
                  <c:v>-3.2157990314769978E-2</c:v>
                </c:pt>
                <c:pt idx="80">
                  <c:v>-6.1762176530371854E-3</c:v>
                </c:pt>
                <c:pt idx="81">
                  <c:v>2.4858401510382743E-3</c:v>
                </c:pt>
                <c:pt idx="82">
                  <c:v>2.2042436987978396E-2</c:v>
                </c:pt>
                <c:pt idx="83">
                  <c:v>3.24388652155553E-2</c:v>
                </c:pt>
                <c:pt idx="84">
                  <c:v>-2.0108574403212585E-2</c:v>
                </c:pt>
                <c:pt idx="85">
                  <c:v>4.8115598864653386E-3</c:v>
                </c:pt>
                <c:pt idx="86">
                  <c:v>-6.8353474320241346E-3</c:v>
                </c:pt>
                <c:pt idx="87">
                  <c:v>-1.2951062778052377E-2</c:v>
                </c:pt>
                <c:pt idx="88">
                  <c:v>-3.5187068540433977E-2</c:v>
                </c:pt>
                <c:pt idx="89">
                  <c:v>-2.3030545018965797E-2</c:v>
                </c:pt>
                <c:pt idx="90">
                  <c:v>-1.8554695482299509E-2</c:v>
                </c:pt>
                <c:pt idx="91">
                  <c:v>-7.5122219353548998E-3</c:v>
                </c:pt>
                <c:pt idx="92">
                  <c:v>1.883879196770976E-2</c:v>
                </c:pt>
                <c:pt idx="93">
                  <c:v>6.3748826329747873E-3</c:v>
                </c:pt>
                <c:pt idx="94">
                  <c:v>4.9800307722525868E-2</c:v>
                </c:pt>
                <c:pt idx="95">
                  <c:v>2.9491787047936764E-2</c:v>
                </c:pt>
                <c:pt idx="96">
                  <c:v>-5.9823105349244747E-3</c:v>
                </c:pt>
                <c:pt idx="97">
                  <c:v>-1.5815214907135122E-2</c:v>
                </c:pt>
                <c:pt idx="98">
                  <c:v>-6.6181593002555784E-3</c:v>
                </c:pt>
                <c:pt idx="99">
                  <c:v>1.7064713445280003E-2</c:v>
                </c:pt>
                <c:pt idx="100">
                  <c:v>7.9563302049415752E-2</c:v>
                </c:pt>
                <c:pt idx="101">
                  <c:v>3.1580441416507316E-3</c:v>
                </c:pt>
                <c:pt idx="102">
                  <c:v>7.5200735736266816E-2</c:v>
                </c:pt>
                <c:pt idx="103">
                  <c:v>-3.1483370069414686E-2</c:v>
                </c:pt>
                <c:pt idx="104">
                  <c:v>2.7961956521739186E-2</c:v>
                </c:pt>
                <c:pt idx="105">
                  <c:v>-3.2554389489545053E-2</c:v>
                </c:pt>
                <c:pt idx="106">
                  <c:v>3.627980053282321E-2</c:v>
                </c:pt>
                <c:pt idx="107">
                  <c:v>4.7989136525138233E-2</c:v>
                </c:pt>
                <c:pt idx="108">
                  <c:v>-3.1890603279636789E-3</c:v>
                </c:pt>
                <c:pt idx="109">
                  <c:v>-8.6386410389086253E-3</c:v>
                </c:pt>
                <c:pt idx="110">
                  <c:v>6.9405811400019071E-2</c:v>
                </c:pt>
                <c:pt idx="111">
                  <c:v>2.7504478926724186E-2</c:v>
                </c:pt>
                <c:pt idx="112">
                  <c:v>3.1495105138156822E-2</c:v>
                </c:pt>
                <c:pt idx="113">
                  <c:v>0.10895898734745908</c:v>
                </c:pt>
                <c:pt idx="114">
                  <c:v>-2.5016584881677904E-3</c:v>
                </c:pt>
                <c:pt idx="115">
                  <c:v>-4.2802386089605252E-2</c:v>
                </c:pt>
                <c:pt idx="116">
                  <c:v>-3.97254752206382E-3</c:v>
                </c:pt>
                <c:pt idx="117">
                  <c:v>-5.3744774887510352E-2</c:v>
                </c:pt>
                <c:pt idx="118">
                  <c:v>6.7230532014271094E-2</c:v>
                </c:pt>
                <c:pt idx="119">
                  <c:v>-2.657541036335551E-2</c:v>
                </c:pt>
                <c:pt idx="120">
                  <c:v>-6.0993776034754491E-2</c:v>
                </c:pt>
                <c:pt idx="121">
                  <c:v>-1.5275542402898209E-2</c:v>
                </c:pt>
                <c:pt idx="122">
                  <c:v>3.6074774020070137E-2</c:v>
                </c:pt>
                <c:pt idx="123">
                  <c:v>7.7898212700512837E-2</c:v>
                </c:pt>
                <c:pt idx="124">
                  <c:v>-7.1633899158605907E-2</c:v>
                </c:pt>
                <c:pt idx="125">
                  <c:v>2.4737258447282164E-2</c:v>
                </c:pt>
                <c:pt idx="126">
                  <c:v>-8.2709337332714073E-5</c:v>
                </c:pt>
                <c:pt idx="127">
                  <c:v>-3.1305316444527762E-2</c:v>
                </c:pt>
                <c:pt idx="128">
                  <c:v>1.4886204501724785E-2</c:v>
                </c:pt>
                <c:pt idx="129">
                  <c:v>-5.0650377774412152E-3</c:v>
                </c:pt>
                <c:pt idx="130">
                  <c:v>3.0787358071463274E-2</c:v>
                </c:pt>
                <c:pt idx="131">
                  <c:v>-1.7457982159167395E-2</c:v>
                </c:pt>
                <c:pt idx="132">
                  <c:v>6.2027197782317578E-2</c:v>
                </c:pt>
                <c:pt idx="133">
                  <c:v>1.5372923109177591E-2</c:v>
                </c:pt>
                <c:pt idx="134">
                  <c:v>-2.1076485497333784E-2</c:v>
                </c:pt>
                <c:pt idx="135">
                  <c:v>-3.1275047458342212E-2</c:v>
                </c:pt>
                <c:pt idx="136">
                  <c:v>-1.6439042180840253E-2</c:v>
                </c:pt>
                <c:pt idx="137">
                  <c:v>-2.3061724842132099E-2</c:v>
                </c:pt>
                <c:pt idx="138">
                  <c:v>-3.088566864186899E-2</c:v>
                </c:pt>
                <c:pt idx="139">
                  <c:v>-2.9829894195358607E-2</c:v>
                </c:pt>
                <c:pt idx="140">
                  <c:v>-1.5997156061144793E-2</c:v>
                </c:pt>
                <c:pt idx="141">
                  <c:v>8.2865925345351324E-2</c:v>
                </c:pt>
                <c:pt idx="142">
                  <c:v>3.1637874975260848E-2</c:v>
                </c:pt>
                <c:pt idx="143">
                  <c:v>5.6720017540013164E-2</c:v>
                </c:pt>
                <c:pt idx="144">
                  <c:v>-5.2249102641243238E-2</c:v>
                </c:pt>
                <c:pt idx="145">
                  <c:v>7.7032537011192295E-2</c:v>
                </c:pt>
                <c:pt idx="146">
                  <c:v>1.1052390873519995E-2</c:v>
                </c:pt>
                <c:pt idx="147">
                  <c:v>-1.3746136255120315E-2</c:v>
                </c:pt>
                <c:pt idx="148">
                  <c:v>-2.1775467563573368E-2</c:v>
                </c:pt>
                <c:pt idx="149">
                  <c:v>2.324478919758077E-2</c:v>
                </c:pt>
                <c:pt idx="150">
                  <c:v>-1.244787927848123E-2</c:v>
                </c:pt>
                <c:pt idx="151">
                  <c:v>-4.7135183065771732E-2</c:v>
                </c:pt>
                <c:pt idx="152">
                  <c:v>7.2709664504331042E-2</c:v>
                </c:pt>
                <c:pt idx="153">
                  <c:v>2.6756443233973852E-2</c:v>
                </c:pt>
                <c:pt idx="154">
                  <c:v>1.318433009947201E-2</c:v>
                </c:pt>
                <c:pt idx="155">
                  <c:v>-1.2314614150170459E-2</c:v>
                </c:pt>
                <c:pt idx="156">
                  <c:v>2.9697769967454947E-3</c:v>
                </c:pt>
                <c:pt idx="157">
                  <c:v>9.2568665452908178E-2</c:v>
                </c:pt>
                <c:pt idx="158">
                  <c:v>2.3826588663220443E-2</c:v>
                </c:pt>
                <c:pt idx="159">
                  <c:v>1.8113643423740965E-2</c:v>
                </c:pt>
                <c:pt idx="160">
                  <c:v>-5.4147668427171974E-4</c:v>
                </c:pt>
                <c:pt idx="161">
                  <c:v>5.2624789849121285E-2</c:v>
                </c:pt>
                <c:pt idx="162">
                  <c:v>2.2437808913034717E-2</c:v>
                </c:pt>
                <c:pt idx="163">
                  <c:v>5.2520345341445993E-2</c:v>
                </c:pt>
                <c:pt idx="164">
                  <c:v>4.1491901658385649E-2</c:v>
                </c:pt>
                <c:pt idx="165">
                  <c:v>-3.2892339091770535E-2</c:v>
                </c:pt>
                <c:pt idx="166">
                  <c:v>-1.120762751785353E-2</c:v>
                </c:pt>
                <c:pt idx="167">
                  <c:v>6.7600169219569975E-2</c:v>
                </c:pt>
                <c:pt idx="168">
                  <c:v>2.0559192911558753E-2</c:v>
                </c:pt>
                <c:pt idx="169">
                  <c:v>9.2550292608359508E-2</c:v>
                </c:pt>
                <c:pt idx="170">
                  <c:v>5.2904733699393358E-2</c:v>
                </c:pt>
                <c:pt idx="171">
                  <c:v>2.4630616768887132E-4</c:v>
                </c:pt>
                <c:pt idx="172">
                  <c:v>4.3442573113637636E-3</c:v>
                </c:pt>
                <c:pt idx="173">
                  <c:v>-4.0469898810118051E-3</c:v>
                </c:pt>
                <c:pt idx="174">
                  <c:v>4.792239052736507E-2</c:v>
                </c:pt>
                <c:pt idx="175">
                  <c:v>0.11905742459396758</c:v>
                </c:pt>
                <c:pt idx="176">
                  <c:v>3.7260496927570483E-2</c:v>
                </c:pt>
                <c:pt idx="177">
                  <c:v>5.7054978662162539E-2</c:v>
                </c:pt>
                <c:pt idx="178">
                  <c:v>1.9963929722050862E-2</c:v>
                </c:pt>
                <c:pt idx="179">
                  <c:v>0.12751993585301818</c:v>
                </c:pt>
                <c:pt idx="180">
                  <c:v>8.4793488649326204E-2</c:v>
                </c:pt>
                <c:pt idx="181">
                  <c:v>-0.11479755205668911</c:v>
                </c:pt>
                <c:pt idx="182">
                  <c:v>-1.0577888317876047E-2</c:v>
                </c:pt>
                <c:pt idx="183">
                  <c:v>-1.8024527375345791E-2</c:v>
                </c:pt>
                <c:pt idx="184">
                  <c:v>-0.11693289890224648</c:v>
                </c:pt>
                <c:pt idx="185">
                  <c:v>8.5294176346146309E-3</c:v>
                </c:pt>
                <c:pt idx="186">
                  <c:v>0.10049051740557602</c:v>
                </c:pt>
                <c:pt idx="187">
                  <c:v>-3.7130359727754268E-2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D93-4E16-B374-9BB48DDE4A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3566976"/>
        <c:axId val="443571552"/>
      </c:scatterChart>
      <c:valAx>
        <c:axId val="443566976"/>
        <c:scaling>
          <c:orientation val="minMax"/>
          <c:max val="12"/>
          <c:min val="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l-SI" sz="1200"/>
                  <a:t>Mesec</a:t>
                </a:r>
                <a:endParaRPr lang="en-GB" sz="120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43571552"/>
        <c:crosses val="autoZero"/>
        <c:crossBetween val="midCat"/>
        <c:majorUnit val="1"/>
      </c:valAx>
      <c:valAx>
        <c:axId val="443571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435669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l-SI" sz="1200"/>
              <a:t>Končna vrednost</a:t>
            </a:r>
            <a:r>
              <a:rPr lang="sl-SI" sz="1200" baseline="0"/>
              <a:t> Lukovega portfelja</a:t>
            </a:r>
            <a:endParaRPr lang="sl-SI" sz="1200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/>
          </c:spPr>
          <c:marker>
            <c:symbol val="none"/>
          </c:marker>
          <c:cat>
            <c:numRef>
              <c:f>analiza!$A$122:$A$190</c:f>
              <c:numCache>
                <c:formatCode>m/d/yyyy</c:formatCode>
                <c:ptCount val="69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  <c:pt idx="65">
                  <c:v>46174</c:v>
                </c:pt>
                <c:pt idx="66">
                  <c:v>46204</c:v>
                </c:pt>
                <c:pt idx="67">
                  <c:v>46235</c:v>
                </c:pt>
                <c:pt idx="68">
                  <c:v>46266</c:v>
                </c:pt>
              </c:numCache>
            </c:numRef>
          </c:cat>
          <c:val>
            <c:numRef>
              <c:f>analiza!$H$122:$H$190</c:f>
              <c:numCache>
                <c:formatCode>[$$-409]#,##0.00</c:formatCode>
                <c:ptCount val="69"/>
                <c:pt idx="0">
                  <c:v>11515.718504484363</c:v>
                </c:pt>
                <c:pt idx="1">
                  <c:v>11429.213023969922</c:v>
                </c:pt>
                <c:pt idx="2">
                  <c:v>10091.594572676942</c:v>
                </c:pt>
                <c:pt idx="3">
                  <c:v>8620.4687264738241</c:v>
                </c:pt>
                <c:pt idx="4">
                  <c:v>9337.3016478960108</c:v>
                </c:pt>
                <c:pt idx="5">
                  <c:v>11055.370226584011</c:v>
                </c:pt>
                <c:pt idx="6">
                  <c:v>10670.609731625498</c:v>
                </c:pt>
                <c:pt idx="7">
                  <c:v>9492.6276791458204</c:v>
                </c:pt>
                <c:pt idx="8">
                  <c:v>12069.522674666265</c:v>
                </c:pt>
                <c:pt idx="9">
                  <c:v>9613.6628325645743</c:v>
                </c:pt>
                <c:pt idx="10">
                  <c:v>9216.6252257218985</c:v>
                </c:pt>
                <c:pt idx="11">
                  <c:v>9077.4673886124219</c:v>
                </c:pt>
                <c:pt idx="12">
                  <c:v>10919.19709762723</c:v>
                </c:pt>
                <c:pt idx="13">
                  <c:v>10347.401475151059</c:v>
                </c:pt>
                <c:pt idx="14">
                  <c:v>9029.7081820685216</c:v>
                </c:pt>
                <c:pt idx="15">
                  <c:v>9065.8558384054995</c:v>
                </c:pt>
                <c:pt idx="16">
                  <c:v>8051.5684004113546</c:v>
                </c:pt>
                <c:pt idx="17">
                  <c:v>10732.001002117966</c:v>
                </c:pt>
                <c:pt idx="18">
                  <c:v>9146.2101902235445</c:v>
                </c:pt>
                <c:pt idx="19">
                  <c:v>9695.9655016582728</c:v>
                </c:pt>
                <c:pt idx="20">
                  <c:v>10196.310363441378</c:v>
                </c:pt>
                <c:pt idx="21">
                  <c:v>9601.4024154739946</c:v>
                </c:pt>
                <c:pt idx="22">
                  <c:v>9975.6842332709584</c:v>
                </c:pt>
                <c:pt idx="23">
                  <c:v>12275.358163334686</c:v>
                </c:pt>
                <c:pt idx="24">
                  <c:v>9739.9220493124321</c:v>
                </c:pt>
                <c:pt idx="25">
                  <c:v>11540.174466037783</c:v>
                </c:pt>
                <c:pt idx="26">
                  <c:v>10191.949494097245</c:v>
                </c:pt>
                <c:pt idx="27">
                  <c:v>9583.2601159663063</c:v>
                </c:pt>
                <c:pt idx="28">
                  <c:v>10489.444978752104</c:v>
                </c:pt>
                <c:pt idx="29">
                  <c:v>9912.6824386157805</c:v>
                </c:pt>
                <c:pt idx="30">
                  <c:v>9374.1565204669678</c:v>
                </c:pt>
                <c:pt idx="31">
                  <c:v>9961.9930787453122</c:v>
                </c:pt>
                <c:pt idx="32">
                  <c:v>11789.203023274917</c:v>
                </c:pt>
                <c:pt idx="33">
                  <c:v>10575.664896412058</c:v>
                </c:pt>
                <c:pt idx="34">
                  <c:v>10670.436286072987</c:v>
                </c:pt>
                <c:pt idx="35">
                  <c:v>9974.8572326378762</c:v>
                </c:pt>
                <c:pt idx="36">
                  <c:v>12197.632083865847</c:v>
                </c:pt>
                <c:pt idx="37">
                  <c:v>11293.545983662438</c:v>
                </c:pt>
                <c:pt idx="38">
                  <c:v>9371.5442033396539</c:v>
                </c:pt>
                <c:pt idx="39">
                  <c:v>10656.24191566123</c:v>
                </c:pt>
                <c:pt idx="40">
                  <c:v>9643.6873353781102</c:v>
                </c:pt>
                <c:pt idx="41">
                  <c:v>10412.253172262994</c:v>
                </c:pt>
                <c:pt idx="42">
                  <c:v>9675.259635349068</c:v>
                </c:pt>
                <c:pt idx="43">
                  <c:v>10632.278185626226</c:v>
                </c:pt>
                <c:pt idx="44">
                  <c:v>10755.508741626105</c:v>
                </c:pt>
                <c:pt idx="45">
                  <c:v>11694.049327309489</c:v>
                </c:pt>
                <c:pt idx="46">
                  <c:v>9796.2268218477784</c:v>
                </c:pt>
                <c:pt idx="47">
                  <c:v>10390.31643484997</c:v>
                </c:pt>
                <c:pt idx="48">
                  <c:v>9565.7048427535301</c:v>
                </c:pt>
                <c:pt idx="49">
                  <c:v>10354.172774897994</c:v>
                </c:pt>
                <c:pt idx="50">
                  <c:v>10969.294664562323</c:v>
                </c:pt>
                <c:pt idx="51">
                  <c:v>10554.061935873673</c:v>
                </c:pt>
                <c:pt idx="52">
                  <c:v>10144.720770294558</c:v>
                </c:pt>
                <c:pt idx="53">
                  <c:v>10380.708028692579</c:v>
                </c:pt>
                <c:pt idx="54">
                  <c:v>9914.0299546236092</c:v>
                </c:pt>
                <c:pt idx="55">
                  <c:v>10864.245458613135</c:v>
                </c:pt>
                <c:pt idx="56">
                  <c:v>9991.3985621838092</c:v>
                </c:pt>
                <c:pt idx="57">
                  <c:v>9408.0801501108217</c:v>
                </c:pt>
                <c:pt idx="58">
                  <c:v>9947.0382132005907</c:v>
                </c:pt>
                <c:pt idx="59">
                  <c:v>10130.470005142504</c:v>
                </c:pt>
                <c:pt idx="60">
                  <c:v>9678.8879592101257</c:v>
                </c:pt>
                <c:pt idx="61">
                  <c:v>9521.0417195284808</c:v>
                </c:pt>
                <c:pt idx="62">
                  <c:v>10536.571552752062</c:v>
                </c:pt>
                <c:pt idx="63">
                  <c:v>9735.7540400192538</c:v>
                </c:pt>
                <c:pt idx="64">
                  <c:v>8395.2211676422903</c:v>
                </c:pt>
                <c:pt idx="65">
                  <c:v>10404.632597495818</c:v>
                </c:pt>
                <c:pt idx="66">
                  <c:v>11750.53808933005</c:v>
                </c:pt>
                <c:pt idx="67">
                  <c:v>10154.177628002084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29-4864-9CF2-9FD10520C9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74982832"/>
        <c:axId val="813739840"/>
      </c:lineChart>
      <c:dateAx>
        <c:axId val="117498283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13739840"/>
        <c:crosses val="autoZero"/>
        <c:auto val="1"/>
        <c:lblOffset val="100"/>
        <c:baseTimeUnit val="months"/>
        <c:majorUnit val="6"/>
        <c:majorTimeUnit val="months"/>
      </c:dateAx>
      <c:valAx>
        <c:axId val="813739840"/>
        <c:scaling>
          <c:orientation val="minMax"/>
          <c:max val="13000"/>
          <c:min val="7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[$$-409]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74982832"/>
        <c:crosses val="autoZero"/>
        <c:crossBetween val="midCat"/>
      </c:valAx>
    </c:plotArea>
    <c:plotVisOnly val="1"/>
    <c:dispBlanksAs val="gap"/>
    <c:showDLblsOverMax val="0"/>
    <c:extLst/>
  </c:chart>
  <c:txPr>
    <a:bodyPr/>
    <a:lstStyle/>
    <a:p>
      <a:pPr>
        <a:defRPr sz="12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l-SI" sz="1200"/>
              <a:t>Končna vrednost</a:t>
            </a:r>
            <a:r>
              <a:rPr lang="sl-SI" sz="1200" baseline="0"/>
              <a:t> Lukovega portfelja</a:t>
            </a:r>
            <a:endParaRPr lang="sl-SI" sz="1200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/>
          </c:spPr>
          <c:marker>
            <c:symbol val="none"/>
          </c:marker>
          <c:trendline>
            <c:trendlineType val="linear"/>
            <c:dispRSqr val="0"/>
            <c:dispEq val="0"/>
          </c:trendline>
          <c:trendline>
            <c:spPr>
              <a:ln w="28575">
                <a:solidFill>
                  <a:srgbClr val="FF0000"/>
                </a:solidFill>
                <a:prstDash val="sysDot"/>
              </a:ln>
            </c:spPr>
            <c:trendlineType val="linear"/>
            <c:dispRSqr val="0"/>
            <c:dispEq val="0"/>
          </c:trendline>
          <c:cat>
            <c:numRef>
              <c:f>analiza!$A$122:$A$190</c:f>
              <c:numCache>
                <c:formatCode>m/d/yyyy</c:formatCode>
                <c:ptCount val="69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  <c:pt idx="65">
                  <c:v>46174</c:v>
                </c:pt>
                <c:pt idx="66">
                  <c:v>46204</c:v>
                </c:pt>
                <c:pt idx="67">
                  <c:v>46235</c:v>
                </c:pt>
                <c:pt idx="68">
                  <c:v>46266</c:v>
                </c:pt>
              </c:numCache>
            </c:numRef>
          </c:cat>
          <c:val>
            <c:numRef>
              <c:f>analiza!$H$122:$H$190</c:f>
              <c:numCache>
                <c:formatCode>[$$-409]#,##0.00</c:formatCode>
                <c:ptCount val="69"/>
                <c:pt idx="0">
                  <c:v>11515.718504484363</c:v>
                </c:pt>
                <c:pt idx="1">
                  <c:v>11429.213023969922</c:v>
                </c:pt>
                <c:pt idx="2">
                  <c:v>10091.594572676942</c:v>
                </c:pt>
                <c:pt idx="3">
                  <c:v>8620.4687264738241</c:v>
                </c:pt>
                <c:pt idx="4">
                  <c:v>9337.3016478960108</c:v>
                </c:pt>
                <c:pt idx="5">
                  <c:v>11055.370226584011</c:v>
                </c:pt>
                <c:pt idx="6">
                  <c:v>10670.609731625498</c:v>
                </c:pt>
                <c:pt idx="7">
                  <c:v>9492.6276791458204</c:v>
                </c:pt>
                <c:pt idx="8">
                  <c:v>12069.522674666265</c:v>
                </c:pt>
                <c:pt idx="9">
                  <c:v>9613.6628325645743</c:v>
                </c:pt>
                <c:pt idx="10">
                  <c:v>9216.6252257218985</c:v>
                </c:pt>
                <c:pt idx="11">
                  <c:v>9077.4673886124219</c:v>
                </c:pt>
                <c:pt idx="12">
                  <c:v>10919.19709762723</c:v>
                </c:pt>
                <c:pt idx="13">
                  <c:v>10347.401475151059</c:v>
                </c:pt>
                <c:pt idx="14">
                  <c:v>9029.7081820685216</c:v>
                </c:pt>
                <c:pt idx="15">
                  <c:v>9065.8558384054995</c:v>
                </c:pt>
                <c:pt idx="16">
                  <c:v>8051.5684004113546</c:v>
                </c:pt>
                <c:pt idx="17">
                  <c:v>10732.001002117966</c:v>
                </c:pt>
                <c:pt idx="18">
                  <c:v>9146.2101902235445</c:v>
                </c:pt>
                <c:pt idx="19">
                  <c:v>9695.9655016582728</c:v>
                </c:pt>
                <c:pt idx="20">
                  <c:v>10196.310363441378</c:v>
                </c:pt>
                <c:pt idx="21">
                  <c:v>9601.4024154739946</c:v>
                </c:pt>
                <c:pt idx="22">
                  <c:v>9975.6842332709584</c:v>
                </c:pt>
                <c:pt idx="23">
                  <c:v>12275.358163334686</c:v>
                </c:pt>
                <c:pt idx="24">
                  <c:v>9739.9220493124321</c:v>
                </c:pt>
                <c:pt idx="25">
                  <c:v>11540.174466037783</c:v>
                </c:pt>
                <c:pt idx="26">
                  <c:v>10191.949494097245</c:v>
                </c:pt>
                <c:pt idx="27">
                  <c:v>9583.2601159663063</c:v>
                </c:pt>
                <c:pt idx="28">
                  <c:v>10489.444978752104</c:v>
                </c:pt>
                <c:pt idx="29">
                  <c:v>9912.6824386157805</c:v>
                </c:pt>
                <c:pt idx="30">
                  <c:v>9374.1565204669678</c:v>
                </c:pt>
                <c:pt idx="31">
                  <c:v>9961.9930787453122</c:v>
                </c:pt>
                <c:pt idx="32">
                  <c:v>11789.203023274917</c:v>
                </c:pt>
                <c:pt idx="33">
                  <c:v>10575.664896412058</c:v>
                </c:pt>
                <c:pt idx="34">
                  <c:v>10670.436286072987</c:v>
                </c:pt>
                <c:pt idx="35">
                  <c:v>9974.8572326378762</c:v>
                </c:pt>
                <c:pt idx="36">
                  <c:v>12197.632083865847</c:v>
                </c:pt>
                <c:pt idx="37">
                  <c:v>11293.545983662438</c:v>
                </c:pt>
                <c:pt idx="38">
                  <c:v>9371.5442033396539</c:v>
                </c:pt>
                <c:pt idx="39">
                  <c:v>10656.24191566123</c:v>
                </c:pt>
                <c:pt idx="40">
                  <c:v>9643.6873353781102</c:v>
                </c:pt>
                <c:pt idx="41">
                  <c:v>10412.253172262994</c:v>
                </c:pt>
                <c:pt idx="42">
                  <c:v>9675.259635349068</c:v>
                </c:pt>
                <c:pt idx="43">
                  <c:v>10632.278185626226</c:v>
                </c:pt>
                <c:pt idx="44">
                  <c:v>10755.508741626105</c:v>
                </c:pt>
                <c:pt idx="45">
                  <c:v>11694.049327309489</c:v>
                </c:pt>
                <c:pt idx="46">
                  <c:v>9796.2268218477784</c:v>
                </c:pt>
                <c:pt idx="47">
                  <c:v>10390.31643484997</c:v>
                </c:pt>
                <c:pt idx="48">
                  <c:v>9565.7048427535301</c:v>
                </c:pt>
                <c:pt idx="49">
                  <c:v>10354.172774897994</c:v>
                </c:pt>
                <c:pt idx="50">
                  <c:v>10969.294664562323</c:v>
                </c:pt>
                <c:pt idx="51">
                  <c:v>10554.061935873673</c:v>
                </c:pt>
                <c:pt idx="52">
                  <c:v>10144.720770294558</c:v>
                </c:pt>
                <c:pt idx="53">
                  <c:v>10380.708028692579</c:v>
                </c:pt>
                <c:pt idx="54">
                  <c:v>9914.0299546236092</c:v>
                </c:pt>
                <c:pt idx="55">
                  <c:v>10864.245458613135</c:v>
                </c:pt>
                <c:pt idx="56">
                  <c:v>9991.3985621838092</c:v>
                </c:pt>
                <c:pt idx="57">
                  <c:v>9408.0801501108217</c:v>
                </c:pt>
                <c:pt idx="58">
                  <c:v>9947.0382132005907</c:v>
                </c:pt>
                <c:pt idx="59">
                  <c:v>10130.470005142504</c:v>
                </c:pt>
                <c:pt idx="60">
                  <c:v>9678.8879592101257</c:v>
                </c:pt>
                <c:pt idx="61">
                  <c:v>9521.0417195284808</c:v>
                </c:pt>
                <c:pt idx="62">
                  <c:v>10536.571552752062</c:v>
                </c:pt>
                <c:pt idx="63">
                  <c:v>9735.7540400192538</c:v>
                </c:pt>
                <c:pt idx="64">
                  <c:v>8395.2211676422903</c:v>
                </c:pt>
                <c:pt idx="65">
                  <c:v>10404.632597495818</c:v>
                </c:pt>
                <c:pt idx="66">
                  <c:v>11750.53808933005</c:v>
                </c:pt>
                <c:pt idx="67">
                  <c:v>10154.177628002084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EC-4CED-BB8B-3BAD688021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74982832"/>
        <c:axId val="813739840"/>
      </c:lineChart>
      <c:dateAx>
        <c:axId val="117498283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13739840"/>
        <c:crosses val="autoZero"/>
        <c:auto val="1"/>
        <c:lblOffset val="100"/>
        <c:baseTimeUnit val="months"/>
        <c:majorUnit val="6"/>
        <c:majorTimeUnit val="months"/>
      </c:dateAx>
      <c:valAx>
        <c:axId val="813739840"/>
        <c:scaling>
          <c:orientation val="minMax"/>
          <c:max val="13000"/>
          <c:min val="7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[$$-409]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74982832"/>
        <c:crosses val="autoZero"/>
        <c:crossBetween val="midCat"/>
      </c:valAx>
    </c:plotArea>
    <c:plotVisOnly val="1"/>
    <c:dispBlanksAs val="gap"/>
    <c:showDLblsOverMax val="0"/>
    <c:extLst/>
  </c:chart>
  <c:txPr>
    <a:bodyPr/>
    <a:lstStyle/>
    <a:p>
      <a:pPr>
        <a:defRPr sz="12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_xlchart.v1.6</cx:f>
      </cx:numDim>
    </cx:data>
    <cx:data id="1">
      <cx:numDim type="val">
        <cx:f>_xlchart.v1.7</cx:f>
      </cx:numDim>
    </cx:data>
  </cx:chartData>
  <cx:chart>
    <cx:title pos="t" align="ctr" overlay="0">
      <cx:tx>
        <cx:txData>
          <cx:v>Porazdelitev donosnosti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 sz="1200">
              <a:solidFill>
                <a:sysClr val="windowText" lastClr="000000"/>
              </a:solidFill>
              <a:latin typeface="Arial" panose="020B0604020202020204" pitchFamily="34" charset="0"/>
              <a:ea typeface="Arial" panose="020B0604020202020204" pitchFamily="34" charset="0"/>
              <a:cs typeface="Arial" panose="020B0604020202020204" pitchFamily="34" charset="0"/>
            </a:defRPr>
          </a:pPr>
          <a:r>
            <a:rPr lang="sl-SI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Porazdelitev donosnosti</a:t>
          </a:r>
        </a:p>
      </cx:txPr>
    </cx:title>
    <cx:plotArea>
      <cx:plotAreaRegion>
        <cx:series layoutId="boxWhisker" uniqueId="{00000000-1D9B-4CD2-BC98-E247EF772B72}">
          <cx:tx>
            <cx:txData>
              <cx:f>_xlchart.v1.4</cx:f>
              <cx:v>Donosnost zlata</cx:v>
            </cx:txData>
          </cx:tx>
          <cx:dataId val="0"/>
          <cx:layoutPr>
            <cx:visibility meanLine="0" meanMarker="1" nonoutliers="0" outliers="1"/>
            <cx:statistics quartileMethod="exclusive"/>
          </cx:layoutPr>
        </cx:series>
        <cx:series layoutId="boxWhisker" uniqueId="{00000001-1D9B-4CD2-BC98-E247EF772B72}">
          <cx:tx>
            <cx:txData>
              <cx:f>_xlchart.v1.5</cx:f>
              <cx:v>Donosnost bitcoina</cx:v>
            </cx:txData>
          </cx:tx>
          <cx:dataId val="1"/>
          <cx:layoutPr>
            <cx:visibility meanLine="0" meanMarker="1" nonoutliers="0" outliers="1"/>
            <cx:statistics quartileMethod="exclusive"/>
          </cx:layoutPr>
        </cx:series>
      </cx:plotAreaRegion>
      <cx:axis id="0" hidden="1">
        <cx:catScaling gapWidth="1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ysClr val="windowText" lastClr="000000"/>
                </a:solidFill>
                <a:latin typeface="Arial" panose="020B0604020202020204" pitchFamily="34" charset="0"/>
                <a:ea typeface="Arial" panose="020B0604020202020204" pitchFamily="34" charset="0"/>
                <a:cs typeface="Arial" panose="020B0604020202020204" pitchFamily="34" charset="0"/>
              </a:defRPr>
            </a:pPr>
            <a:endParaRPr lang="sl-SI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x:txPr>
      </cx:axis>
      <cx:axis id="1">
        <cx:valScaling/>
        <cx:majorGridlines/>
        <cx:tickLabels/>
        <cx:numFmt formatCode="0%" sourceLinked="0"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ysClr val="windowText" lastClr="000000"/>
                </a:solidFill>
                <a:latin typeface="Arial" panose="020B0604020202020204" pitchFamily="34" charset="0"/>
                <a:ea typeface="Arial" panose="020B0604020202020204" pitchFamily="34" charset="0"/>
                <a:cs typeface="Arial" panose="020B0604020202020204" pitchFamily="34" charset="0"/>
              </a:defRPr>
            </a:pPr>
            <a:endParaRPr lang="sl-SI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x:txPr>
      </cx:axis>
    </cx:plotArea>
    <cx:legend pos="b" align="ctr" overlay="0">
      <cx:txPr>
        <a:bodyPr vertOverflow="overflow" horzOverflow="overflow" wrap="square" lIns="0" tIns="0" rIns="0" bIns="0"/>
        <a:lstStyle/>
        <a:p>
          <a:pPr algn="ctr" rtl="0">
            <a:defRPr sz="1200" b="0" i="0">
              <a:solidFill>
                <a:sysClr val="windowText" lastClr="000000"/>
              </a:solidFill>
              <a:latin typeface="Arial" panose="020B0604020202020204" pitchFamily="34" charset="0"/>
              <a:ea typeface="Arial" panose="020B0604020202020204" pitchFamily="34" charset="0"/>
              <a:cs typeface="Arial" panose="020B0604020202020204" pitchFamily="34" charset="0"/>
            </a:defRPr>
          </a:pPr>
          <a:endParaRPr lang="sl-SI" sz="12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cx:txPr>
    </cx:legend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_xlchart.v1.10</cx:f>
      </cx:numDim>
    </cx:data>
    <cx:data id="1">
      <cx:numDim type="val">
        <cx:f>_xlchart.v1.11</cx:f>
      </cx:numDim>
    </cx:data>
  </cx:chartData>
  <cx:chart>
    <cx:title pos="t" align="ctr" overlay="0">
      <cx:tx>
        <cx:txData>
          <cx:v>Porazdelitev donosnosti (od januarja 2014 dalje)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 sz="1200">
              <a:solidFill>
                <a:sysClr val="windowText" lastClr="000000"/>
              </a:solidFill>
              <a:latin typeface="Arial" panose="020B0604020202020204" pitchFamily="34" charset="0"/>
              <a:ea typeface="Arial" panose="020B0604020202020204" pitchFamily="34" charset="0"/>
              <a:cs typeface="Arial" panose="020B0604020202020204" pitchFamily="34" charset="0"/>
            </a:defRPr>
          </a:pPr>
          <a:r>
            <a:rPr lang="sl-SI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Porazdelitev donosnosti (od januarja 2014 dalje)</a:t>
          </a:r>
        </a:p>
      </cx:txPr>
    </cx:title>
    <cx:plotArea>
      <cx:plotAreaRegion>
        <cx:series layoutId="boxWhisker" uniqueId="{00000000-1D9B-4CD2-BC98-E247EF772B72}">
          <cx:tx>
            <cx:txData>
              <cx:f>_xlchart.v1.8</cx:f>
              <cx:v>Donosnost zlata</cx:v>
            </cx:txData>
          </cx:tx>
          <cx:dataId val="0"/>
          <cx:layoutPr>
            <cx:visibility meanLine="0" meanMarker="1" nonoutliers="0" outliers="1"/>
            <cx:statistics quartileMethod="exclusive"/>
          </cx:layoutPr>
        </cx:series>
        <cx:series layoutId="boxWhisker" uniqueId="{00000001-1D9B-4CD2-BC98-E247EF772B72}">
          <cx:tx>
            <cx:txData>
              <cx:f>_xlchart.v1.9</cx:f>
              <cx:v>Donosnost bitcoina</cx:v>
            </cx:txData>
          </cx:tx>
          <cx:dataId val="1"/>
          <cx:layoutPr>
            <cx:visibility meanLine="0" meanMarker="1" nonoutliers="0" outliers="1"/>
            <cx:statistics quartileMethod="exclusive"/>
          </cx:layoutPr>
        </cx:series>
      </cx:plotAreaRegion>
      <cx:axis id="0" hidden="1">
        <cx:catScaling gapWidth="1"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ysClr val="windowText" lastClr="000000"/>
                </a:solidFill>
                <a:latin typeface="Arial" panose="020B0604020202020204" pitchFamily="34" charset="0"/>
                <a:ea typeface="Arial" panose="020B0604020202020204" pitchFamily="34" charset="0"/>
                <a:cs typeface="Arial" panose="020B0604020202020204" pitchFamily="34" charset="0"/>
              </a:defRPr>
            </a:pPr>
            <a:endParaRPr lang="sl-SI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x:txPr>
      </cx:axis>
      <cx:axis id="1">
        <cx:valScaling max="0.80000000000000004" min="-0.40000000000000002"/>
        <cx:majorGridlines/>
        <cx:tickLabels/>
        <cx:numFmt formatCode="0%" sourceLinked="0"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ysClr val="windowText" lastClr="000000"/>
                </a:solidFill>
                <a:latin typeface="Arial" panose="020B0604020202020204" pitchFamily="34" charset="0"/>
                <a:ea typeface="Arial" panose="020B0604020202020204" pitchFamily="34" charset="0"/>
                <a:cs typeface="Arial" panose="020B0604020202020204" pitchFamily="34" charset="0"/>
              </a:defRPr>
            </a:pPr>
            <a:endParaRPr lang="sl-SI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x:txPr>
      </cx:axis>
    </cx:plotArea>
    <cx:legend pos="b" align="ctr" overlay="0">
      <cx:txPr>
        <a:bodyPr vertOverflow="overflow" horzOverflow="overflow" wrap="square" lIns="0" tIns="0" rIns="0" bIns="0"/>
        <a:lstStyle/>
        <a:p>
          <a:pPr algn="ctr" rtl="0">
            <a:defRPr sz="1200" b="0" i="0">
              <a:solidFill>
                <a:sysClr val="windowText" lastClr="000000"/>
              </a:solidFill>
              <a:latin typeface="Arial" panose="020B0604020202020204" pitchFamily="34" charset="0"/>
              <a:ea typeface="Arial" panose="020B0604020202020204" pitchFamily="34" charset="0"/>
              <a:cs typeface="Arial" panose="020B0604020202020204" pitchFamily="34" charset="0"/>
            </a:defRPr>
          </a:pPr>
          <a:endParaRPr lang="sl-SI" sz="12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cx:txPr>
    </cx:legend>
  </cx:chart>
</cx:chartSpace>
</file>

<file path=xl/charts/chartEx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_xlchart.v1.12</cx:f>
      </cx:numDim>
    </cx:data>
  </cx:chartData>
  <cx:chart>
    <cx:title pos="t" align="ctr" overlay="0">
      <cx:tx>
        <cx:txData>
          <cx:v>Mesečna donosnost zlata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 sz="1200">
              <a:solidFill>
                <a:sysClr val="windowText" lastClr="000000"/>
              </a:solidFill>
              <a:latin typeface="Arial" panose="020B0604020202020204" pitchFamily="34" charset="0"/>
              <a:ea typeface="Arial" panose="020B0604020202020204" pitchFamily="34" charset="0"/>
              <a:cs typeface="Arial" panose="020B0604020202020204" pitchFamily="34" charset="0"/>
            </a:defRPr>
          </a:pPr>
          <a:r>
            <a:rPr lang="sl-SI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Mesečna donosnost zlata</a:t>
          </a:r>
        </a:p>
      </cx:txPr>
    </cx:title>
    <cx:plotArea>
      <cx:plotAreaRegion>
        <cx:series layoutId="clusteredColumn" uniqueId="{00000000-C15F-44DA-ACDB-22BDE75FCCF3}">
          <cx:dataId val="0"/>
          <cx:layoutPr>
            <cx:binning intervalClosed="r" underflow="-0.10000000000000001" overflow="0.14000000000000001">
              <cx:binSize val="0.010000000000000002"/>
            </cx:binning>
          </cx:layoutPr>
        </cx:series>
      </cx:plotAreaRegion>
      <cx:axis id="0">
        <cx:catScaling gapWidth="0"/>
        <cx:majorTickMarks type="out"/>
        <cx:tickLabels/>
        <cx:numFmt formatCode="0%" sourceLinked="0"/>
        <cx:spPr>
          <a:ln>
            <a:solidFill>
              <a:schemeClr val="tx1">
                <a:lumMod val="15000"/>
                <a:lumOff val="85000"/>
                <a:alpha val="94000"/>
              </a:schemeClr>
            </a:solidFill>
          </a:ln>
        </cx:spPr>
        <cx:txPr>
          <a:bodyPr vertOverflow="overflow" horzOverflow="overflow" wrap="square" lIns="0" tIns="0" rIns="0" bIns="0"/>
          <a:lstStyle/>
          <a:p>
            <a:pPr algn="ctr" rtl="0">
              <a:defRPr sz="1000" b="0" i="0">
                <a:solidFill>
                  <a:sysClr val="windowText" lastClr="000000"/>
                </a:solidFill>
                <a:latin typeface="Arial" panose="020B0604020202020204" pitchFamily="34" charset="0"/>
                <a:ea typeface="Arial" panose="020B0604020202020204" pitchFamily="34" charset="0"/>
                <a:cs typeface="Arial" panose="020B0604020202020204" pitchFamily="34" charset="0"/>
              </a:defRPr>
            </a:pPr>
            <a:endParaRPr lang="sl-SI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x:txPr>
      </cx:axis>
      <cx:axis id="1">
        <cx:valScaling/>
        <cx:title>
          <cx:tx>
            <cx:txData>
              <cx:v>Frekvenca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 sz="1200">
                  <a:solidFill>
                    <a:sysClr val="windowText" lastClr="000000"/>
                  </a:solidFill>
                  <a:latin typeface="Arial" panose="020B0604020202020204" pitchFamily="34" charset="0"/>
                  <a:ea typeface="Arial" panose="020B0604020202020204" pitchFamily="34" charset="0"/>
                  <a:cs typeface="Arial" panose="020B0604020202020204" pitchFamily="34" charset="0"/>
                </a:defRPr>
              </a:pPr>
              <a:r>
                <a:rPr lang="sl-SI" sz="1200" b="0" i="0" u="none" strike="noStrike" baseline="0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Frekvenca</a:t>
              </a:r>
            </a:p>
          </cx:txPr>
        </cx:title>
        <cx:majorGridlines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ysClr val="windowText" lastClr="000000"/>
                </a:solidFill>
                <a:latin typeface="Arial" panose="020B0604020202020204" pitchFamily="34" charset="0"/>
                <a:ea typeface="Arial" panose="020B0604020202020204" pitchFamily="34" charset="0"/>
                <a:cs typeface="Arial" panose="020B0604020202020204" pitchFamily="34" charset="0"/>
              </a:defRPr>
            </a:pPr>
            <a:endParaRPr lang="sl-SI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x:txPr>
      </cx:axis>
    </cx:plotArea>
  </cx:chart>
</cx:chartSpace>
</file>

<file path=xl/charts/chartEx4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_xlchart.v1.13</cx:f>
      </cx:numDim>
    </cx:data>
  </cx:chartData>
  <cx:chart>
    <cx:title pos="t" align="ctr" overlay="0">
      <cx:tx>
        <cx:txData>
          <cx:v>Mesečna donosnost bitcoina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 sz="1200">
              <a:solidFill>
                <a:sysClr val="windowText" lastClr="000000"/>
              </a:solidFill>
              <a:latin typeface="Arial" panose="020B0604020202020204" pitchFamily="34" charset="0"/>
              <a:ea typeface="Arial" panose="020B0604020202020204" pitchFamily="34" charset="0"/>
              <a:cs typeface="Arial" panose="020B0604020202020204" pitchFamily="34" charset="0"/>
            </a:defRPr>
          </a:pPr>
          <a:r>
            <a:rPr lang="sl-SI" sz="12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Mesečna donosnost bitcoina</a:t>
          </a:r>
        </a:p>
      </cx:txPr>
    </cx:title>
    <cx:plotArea>
      <cx:plotAreaRegion>
        <cx:series layoutId="clusteredColumn" uniqueId="{00000000-F5AD-4BEA-8CE9-C9BE6E1A8636}">
          <cx:spPr>
            <a:solidFill>
              <a:schemeClr val="accent2"/>
            </a:solidFill>
          </cx:spPr>
          <cx:dataId val="0"/>
          <cx:layoutPr>
            <cx:binning intervalClosed="r" underflow="-0.35000000000000003" overflow="0.75000000000000011">
              <cx:binSize val="0.05000000000000001"/>
            </cx:binning>
          </cx:layoutPr>
        </cx:series>
      </cx:plotAreaRegion>
      <cx:axis id="0">
        <cx:catScaling gapWidth="0"/>
        <cx:majorTickMarks type="out"/>
        <cx:tickLabels/>
        <cx:numFmt formatCode="0%" sourceLinked="0"/>
        <cx:spPr>
          <a:ln>
            <a:solidFill>
              <a:schemeClr val="tx1">
                <a:lumMod val="15000"/>
                <a:lumOff val="85000"/>
                <a:alpha val="94000"/>
              </a:schemeClr>
            </a:solidFill>
          </a:ln>
        </cx:spPr>
        <cx:txPr>
          <a:bodyPr vertOverflow="overflow" horzOverflow="overflow" wrap="square" lIns="0" tIns="0" rIns="0" bIns="0"/>
          <a:lstStyle/>
          <a:p>
            <a:pPr algn="ctr" rtl="0">
              <a:defRPr sz="1000" b="0" i="0">
                <a:solidFill>
                  <a:sysClr val="windowText" lastClr="000000"/>
                </a:solidFill>
                <a:latin typeface="Arial" panose="020B0604020202020204" pitchFamily="34" charset="0"/>
                <a:ea typeface="Arial" panose="020B0604020202020204" pitchFamily="34" charset="0"/>
                <a:cs typeface="Arial" panose="020B0604020202020204" pitchFamily="34" charset="0"/>
              </a:defRPr>
            </a:pPr>
            <a:endParaRPr lang="sl-SI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x:txPr>
      </cx:axis>
      <cx:axis id="1">
        <cx:valScaling/>
        <cx:title>
          <cx:tx>
            <cx:txData>
              <cx:v>Frekvenca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 sz="1200">
                  <a:solidFill>
                    <a:sysClr val="windowText" lastClr="000000"/>
                  </a:solidFill>
                  <a:latin typeface="Arial" panose="020B0604020202020204" pitchFamily="34" charset="0"/>
                  <a:ea typeface="Arial" panose="020B0604020202020204" pitchFamily="34" charset="0"/>
                  <a:cs typeface="Arial" panose="020B0604020202020204" pitchFamily="34" charset="0"/>
                </a:defRPr>
              </a:pPr>
              <a:r>
                <a:rPr lang="sl-SI" sz="1200" b="0" i="0" u="none" strike="noStrike" baseline="0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Frekvenca</a:t>
              </a:r>
            </a:p>
          </cx:txPr>
        </cx:title>
        <cx:majorGridlines/>
        <cx:tickLabels/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ysClr val="windowText" lastClr="000000"/>
                </a:solidFill>
                <a:latin typeface="Arial" panose="020B0604020202020204" pitchFamily="34" charset="0"/>
                <a:ea typeface="Arial" panose="020B0604020202020204" pitchFamily="34" charset="0"/>
                <a:cs typeface="Arial" panose="020B0604020202020204" pitchFamily="34" charset="0"/>
              </a:defRPr>
            </a:pPr>
            <a:endParaRPr lang="sl-SI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x:txPr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2" Type="http://schemas.microsoft.com/office/2014/relationships/chartEx" Target="../charts/chartEx2.xml"/><Relationship Id="rId1" Type="http://schemas.microsoft.com/office/2014/relationships/chartEx" Target="../charts/chartEx1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microsoft.com/office/2014/relationships/chartEx" Target="../charts/chartEx4.xml"/><Relationship Id="rId1" Type="http://schemas.microsoft.com/office/2014/relationships/chartEx" Target="../charts/chartEx3.xml"/><Relationship Id="rId4" Type="http://schemas.openxmlformats.org/officeDocument/2006/relationships/chart" Target="../charts/chart8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8</xdr:col>
      <xdr:colOff>304800</xdr:colOff>
      <xdr:row>16</xdr:row>
      <xdr:rowOff>0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AC095447-96D7-400C-B38C-D71A44F17C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17</xdr:row>
      <xdr:rowOff>7620</xdr:rowOff>
    </xdr:from>
    <xdr:to>
      <xdr:col>8</xdr:col>
      <xdr:colOff>304800</xdr:colOff>
      <xdr:row>32</xdr:row>
      <xdr:rowOff>7620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4AEC73C5-A692-9A26-A086-1FBDA8C493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15240</xdr:colOff>
      <xdr:row>17</xdr:row>
      <xdr:rowOff>15240</xdr:rowOff>
    </xdr:from>
    <xdr:to>
      <xdr:col>16</xdr:col>
      <xdr:colOff>320040</xdr:colOff>
      <xdr:row>32</xdr:row>
      <xdr:rowOff>15240</xdr:rowOff>
    </xdr:to>
    <xdr:graphicFrame macro="">
      <xdr:nvGraphicFramePr>
        <xdr:cNvPr id="4" name="Grafikon 3">
          <a:extLst>
            <a:ext uri="{FF2B5EF4-FFF2-40B4-BE49-F238E27FC236}">
              <a16:creationId xmlns:a16="http://schemas.microsoft.com/office/drawing/2014/main" id="{5D3EB01A-F5CC-4E8B-F747-8EFEDE910F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8</xdr:col>
      <xdr:colOff>304800</xdr:colOff>
      <xdr:row>16</xdr:row>
      <xdr:rowOff>0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5CAE2D81-1B4A-482F-8610-7EE9CF38BB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17</xdr:row>
      <xdr:rowOff>7620</xdr:rowOff>
    </xdr:from>
    <xdr:to>
      <xdr:col>8</xdr:col>
      <xdr:colOff>304800</xdr:colOff>
      <xdr:row>32</xdr:row>
      <xdr:rowOff>7620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451172FF-C373-41D9-AD04-61927A727C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15240</xdr:colOff>
      <xdr:row>17</xdr:row>
      <xdr:rowOff>15240</xdr:rowOff>
    </xdr:from>
    <xdr:to>
      <xdr:col>16</xdr:col>
      <xdr:colOff>320040</xdr:colOff>
      <xdr:row>32</xdr:row>
      <xdr:rowOff>15240</xdr:rowOff>
    </xdr:to>
    <xdr:graphicFrame macro="">
      <xdr:nvGraphicFramePr>
        <xdr:cNvPr id="5" name="Grafikon 4">
          <a:extLst>
            <a:ext uri="{FF2B5EF4-FFF2-40B4-BE49-F238E27FC236}">
              <a16:creationId xmlns:a16="http://schemas.microsoft.com/office/drawing/2014/main" id="{B2A2A5E7-07AA-BA3B-30FE-135E35CC45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4</xdr:col>
      <xdr:colOff>1089660</xdr:colOff>
      <xdr:row>37</xdr:row>
      <xdr:rowOff>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Grafikon 2">
              <a:extLst>
                <a:ext uri="{FF2B5EF4-FFF2-40B4-BE49-F238E27FC236}">
                  <a16:creationId xmlns:a16="http://schemas.microsoft.com/office/drawing/2014/main" id="{7FF6EB57-2593-477D-A388-452F898E1DD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600" y="4191000"/>
              <a:ext cx="4484370" cy="28575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Ta grafikon ni na voljo v vaši različici programa Excel.
Če obliko uredite ali pa delovni zvezek shranite v drugi obliki zapisa datoteke, bo grafikon trajno poškodovan.</a:t>
              </a:r>
            </a:p>
          </xdr:txBody>
        </xdr:sp>
      </mc:Fallback>
    </mc:AlternateContent>
    <xdr:clientData/>
  </xdr:twoCellAnchor>
  <xdr:twoCellAnchor>
    <xdr:from>
      <xdr:col>5</xdr:col>
      <xdr:colOff>53340</xdr:colOff>
      <xdr:row>22</xdr:row>
      <xdr:rowOff>15240</xdr:rowOff>
    </xdr:from>
    <xdr:to>
      <xdr:col>12</xdr:col>
      <xdr:colOff>358140</xdr:colOff>
      <xdr:row>37</xdr:row>
      <xdr:rowOff>15240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4" name="Grafikon 3">
              <a:extLst>
                <a:ext uri="{FF2B5EF4-FFF2-40B4-BE49-F238E27FC236}">
                  <a16:creationId xmlns:a16="http://schemas.microsoft.com/office/drawing/2014/main" id="{603224D6-3400-E0A5-3CB2-BAE8AAA7E6B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185410" y="4210050"/>
              <a:ext cx="4572000" cy="28575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Ta grafikon ni na voljo v vaši različici programa Excel.
Če obliko uredite ali pa delovni zvezek shranite v drugi obliki zapisa datoteke, bo grafikon trajno poškodovan.</a:t>
              </a:r>
            </a:p>
          </xdr:txBody>
        </xdr:sp>
      </mc:Fallback>
    </mc:AlternateContent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8</xdr:col>
      <xdr:colOff>304800</xdr:colOff>
      <xdr:row>16</xdr:row>
      <xdr:rowOff>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Grafikon 2">
              <a:extLst>
                <a:ext uri="{FF2B5EF4-FFF2-40B4-BE49-F238E27FC236}">
                  <a16:creationId xmlns:a16="http://schemas.microsoft.com/office/drawing/2014/main" id="{7615022A-3F9F-4D0D-805B-029F3FB3E21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09600" y="190500"/>
              <a:ext cx="4572000" cy="28575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Ta grafikon ni na voljo v vaši različici programa Excel.
Če obliko uredite ali pa delovni zvezek shranite v drugi obliki zapisa datoteke, bo grafikon trajno poškodovan.</a:t>
              </a:r>
            </a:p>
          </xdr:txBody>
        </xdr:sp>
      </mc:Fallback>
    </mc:AlternateContent>
    <xdr:clientData/>
  </xdr:twoCellAnchor>
  <xdr:twoCellAnchor>
    <xdr:from>
      <xdr:col>1</xdr:col>
      <xdr:colOff>7620</xdr:colOff>
      <xdr:row>17</xdr:row>
      <xdr:rowOff>0</xdr:rowOff>
    </xdr:from>
    <xdr:to>
      <xdr:col>8</xdr:col>
      <xdr:colOff>312420</xdr:colOff>
      <xdr:row>32</xdr:row>
      <xdr:rowOff>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4" name="Grafikon 3">
              <a:extLst>
                <a:ext uri="{FF2B5EF4-FFF2-40B4-BE49-F238E27FC236}">
                  <a16:creationId xmlns:a16="http://schemas.microsoft.com/office/drawing/2014/main" id="{30364A1A-6573-2DBE-1729-F9621875B52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15315" y="3238500"/>
              <a:ext cx="4572000" cy="28575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Ta grafikon ni na voljo v vaši različici programa Excel.
Če obliko uredite ali pa delovni zvezek shranite v drugi obliki zapisa datoteke, bo grafikon trajno poškodovan.</a:t>
              </a:r>
            </a:p>
          </xdr:txBody>
        </xdr:sp>
      </mc:Fallback>
    </mc:AlternateContent>
    <xdr:clientData/>
  </xdr:twoCellAnchor>
  <xdr:twoCellAnchor>
    <xdr:from>
      <xdr:col>9</xdr:col>
      <xdr:colOff>480060</xdr:colOff>
      <xdr:row>9</xdr:row>
      <xdr:rowOff>57150</xdr:rowOff>
    </xdr:from>
    <xdr:to>
      <xdr:col>12</xdr:col>
      <xdr:colOff>464820</xdr:colOff>
      <xdr:row>24</xdr:row>
      <xdr:rowOff>57150</xdr:rowOff>
    </xdr:to>
    <xdr:graphicFrame macro="">
      <xdr:nvGraphicFramePr>
        <xdr:cNvPr id="5" name="Grafikon 4">
          <a:extLst>
            <a:ext uri="{FF2B5EF4-FFF2-40B4-BE49-F238E27FC236}">
              <a16:creationId xmlns:a16="http://schemas.microsoft.com/office/drawing/2014/main" id="{E15C6873-9C88-C6E2-C56A-3331B20AFCD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480060</xdr:colOff>
      <xdr:row>24</xdr:row>
      <xdr:rowOff>140970</xdr:rowOff>
    </xdr:from>
    <xdr:to>
      <xdr:col>12</xdr:col>
      <xdr:colOff>464820</xdr:colOff>
      <xdr:row>39</xdr:row>
      <xdr:rowOff>140970</xdr:rowOff>
    </xdr:to>
    <xdr:graphicFrame macro="">
      <xdr:nvGraphicFramePr>
        <xdr:cNvPr id="6" name="Grafikon 5">
          <a:extLst>
            <a:ext uri="{FF2B5EF4-FFF2-40B4-BE49-F238E27FC236}">
              <a16:creationId xmlns:a16="http://schemas.microsoft.com/office/drawing/2014/main" id="{EAF3055F-18E1-8956-7634-6536BA436AC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1</xdr:row>
      <xdr:rowOff>7620</xdr:rowOff>
    </xdr:from>
    <xdr:to>
      <xdr:col>6</xdr:col>
      <xdr:colOff>160020</xdr:colOff>
      <xdr:row>21</xdr:row>
      <xdr:rowOff>0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CA02BFDE-9A47-464C-83AA-2F4C1CD464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22860</xdr:colOff>
      <xdr:row>25</xdr:row>
      <xdr:rowOff>179070</xdr:rowOff>
    </xdr:from>
    <xdr:to>
      <xdr:col>13</xdr:col>
      <xdr:colOff>327660</xdr:colOff>
      <xdr:row>40</xdr:row>
      <xdr:rowOff>179070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1CBF2901-0A27-7089-5A31-E09331400D0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30480</xdr:colOff>
      <xdr:row>42</xdr:row>
      <xdr:rowOff>11430</xdr:rowOff>
    </xdr:from>
    <xdr:to>
      <xdr:col>13</xdr:col>
      <xdr:colOff>335280</xdr:colOff>
      <xdr:row>57</xdr:row>
      <xdr:rowOff>11430</xdr:rowOff>
    </xdr:to>
    <xdr:graphicFrame macro="">
      <xdr:nvGraphicFramePr>
        <xdr:cNvPr id="4" name="Grafikon 3">
          <a:extLst>
            <a:ext uri="{FF2B5EF4-FFF2-40B4-BE49-F238E27FC236}">
              <a16:creationId xmlns:a16="http://schemas.microsoft.com/office/drawing/2014/main" id="{A2C56DF4-BC7D-49C3-97C0-762542A2F0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7620</xdr:colOff>
      <xdr:row>26</xdr:row>
      <xdr:rowOff>3810</xdr:rowOff>
    </xdr:from>
    <xdr:to>
      <xdr:col>21</xdr:col>
      <xdr:colOff>312420</xdr:colOff>
      <xdr:row>41</xdr:row>
      <xdr:rowOff>3810</xdr:rowOff>
    </xdr:to>
    <xdr:graphicFrame macro="">
      <xdr:nvGraphicFramePr>
        <xdr:cNvPr id="5" name="Grafikon 4">
          <a:extLst>
            <a:ext uri="{FF2B5EF4-FFF2-40B4-BE49-F238E27FC236}">
              <a16:creationId xmlns:a16="http://schemas.microsoft.com/office/drawing/2014/main" id="{27194FC0-8479-9FDA-9332-B24EA0BD9C9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15240</xdr:colOff>
      <xdr:row>58</xdr:row>
      <xdr:rowOff>22860</xdr:rowOff>
    </xdr:from>
    <xdr:to>
      <xdr:col>13</xdr:col>
      <xdr:colOff>320040</xdr:colOff>
      <xdr:row>73</xdr:row>
      <xdr:rowOff>22860</xdr:rowOff>
    </xdr:to>
    <xdr:graphicFrame macro="">
      <xdr:nvGraphicFramePr>
        <xdr:cNvPr id="6" name="Grafikon 5">
          <a:extLst>
            <a:ext uri="{FF2B5EF4-FFF2-40B4-BE49-F238E27FC236}">
              <a16:creationId xmlns:a16="http://schemas.microsoft.com/office/drawing/2014/main" id="{CB87F9FB-4609-4B3A-BE1F-E567E30D16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0</xdr:row>
      <xdr:rowOff>175260</xdr:rowOff>
    </xdr:from>
    <xdr:to>
      <xdr:col>5</xdr:col>
      <xdr:colOff>480060</xdr:colOff>
      <xdr:row>15</xdr:row>
      <xdr:rowOff>175260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2FC009A7-2710-4235-8B13-134F251267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601980</xdr:colOff>
      <xdr:row>1</xdr:row>
      <xdr:rowOff>7620</xdr:rowOff>
    </xdr:from>
    <xdr:to>
      <xdr:col>8</xdr:col>
      <xdr:colOff>144780</xdr:colOff>
      <xdr:row>16</xdr:row>
      <xdr:rowOff>7620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19D08374-1FBF-411E-9ECB-64E1CE2B3B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D132E5-53A9-4743-8AA3-A875EE6BAFF6}" name="Tabela1" displayName="Tabela1" ref="A1:G322" totalsRowShown="0" headerRowDxfId="18" dataDxfId="17">
  <autoFilter ref="A1:G322" xr:uid="{ECD132E5-53A9-4743-8AA3-A875EE6BAFF6}"/>
  <tableColumns count="7">
    <tableColumn id="1" xr3:uid="{74817954-52B1-4B51-B369-B219DFA933F7}" name="Datum" dataDxfId="16"/>
    <tableColumn id="2" xr3:uid="{FA336EDD-3FE5-425C-85A3-37D28D8F2595}" name="Delnice" dataDxfId="15"/>
    <tableColumn id="3" xr3:uid="{2A619F98-76DE-4C83-81C5-BCEEECEFB0C2}" name="Obveznice" dataDxfId="14" dataCellStyle="Odstotek"/>
    <tableColumn id="4" xr3:uid="{8D7E2E73-DBF3-492B-83D3-0D5DF6E34C7C}" name="Zlato" dataDxfId="13"/>
    <tableColumn id="5" xr3:uid="{56853D5A-5403-45B9-BAF3-0C06B5FB1B8A}" name="IndeksCen" dataDxfId="12"/>
    <tableColumn id="6" xr3:uid="{80D3EFEC-E74D-4788-8DEA-E3D04DC3E445}" name="Kriptovalute" dataDxfId="11"/>
    <tableColumn id="7" xr3:uid="{21396C71-828A-4B1B-B5C0-E46C56636996}" name="MenjalniTecaj" dataDxfId="1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4287429-76DD-47ED-96CB-C9169EC318A2}" name="Tabela13" displayName="Tabela13" ref="A1:H190" totalsRowShown="0" headerRowDxfId="9" dataDxfId="8">
  <autoFilter ref="A1:H190" xr:uid="{ECD132E5-53A9-4743-8AA3-A875EE6BAFF6}"/>
  <tableColumns count="8">
    <tableColumn id="1" xr3:uid="{A954F500-89B1-4589-B0C0-F454A06BAC10}" name="Datum" dataDxfId="7"/>
    <tableColumn id="4" xr3:uid="{1DC5A23F-214B-47ED-81FB-4F8C792D808D}" name="Zlato" dataDxfId="6"/>
    <tableColumn id="6" xr3:uid="{C7736A4E-5259-4002-BA96-7A92C9F7BBB6}" name="Kriptovalute" dataDxfId="5"/>
    <tableColumn id="2" xr3:uid="{73EDC6FD-075E-4198-897E-0DE4B8BC629C}" name="Leto" dataDxfId="4">
      <calculatedColumnFormula>YEAR(Tabela13[[#This Row],[Datum]])</calculatedColumnFormula>
    </tableColumn>
    <tableColumn id="3" xr3:uid="{5FA123C1-DF75-41F4-B8F7-DD606A6BF734}" name="Mesec" dataDxfId="3">
      <calculatedColumnFormula>MONTH(Tabela13[[#This Row],[Datum]])</calculatedColumnFormula>
    </tableColumn>
    <tableColumn id="8" xr3:uid="{1F0D12C2-6945-4E24-90C9-0490BCBC2B29}" name="DonosnostZlato" dataDxfId="2" dataCellStyle="Odstotek">
      <calculatedColumnFormula>(B3-Tabela13[[#This Row],[Zlato]])/Tabela13[[#This Row],[Zlato]]</calculatedColumnFormula>
    </tableColumn>
    <tableColumn id="9" xr3:uid="{958300CC-2C41-49F6-B90C-97F210994BDA}" name="DonosnostKripto" dataDxfId="1" dataCellStyle="Odstotek">
      <calculatedColumnFormula>(C3-Tabela13[[#This Row],[Kriptovalute]])/Tabela13[[#This Row],[Kriptovalute]]</calculatedColumnFormula>
    </tableColumn>
    <tableColumn id="5" xr3:uid="{534C0F00-5C56-4C3D-9AC8-0CA6CA436FDA}" name="Portfelj50_50" dataDxfId="0">
      <calculatedColumnFormula>10000*(1+(Tabela13[[#This Row],[DonosnostZlato]]+Tabela13[[#This Row],[DonosnostKripto]])/2)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765CF-A4BD-47FB-ABDE-16ECEE76E42D}">
  <dimension ref="A1:G322"/>
  <sheetViews>
    <sheetView tabSelected="1" workbookViewId="0">
      <selection activeCell="A2" sqref="A2"/>
    </sheetView>
  </sheetViews>
  <sheetFormatPr defaultRowHeight="15" x14ac:dyDescent="0.25"/>
  <cols>
    <col min="1" max="7" width="17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6</v>
      </c>
      <c r="G1" s="2" t="s">
        <v>5</v>
      </c>
    </row>
    <row r="2" spans="1:7" x14ac:dyDescent="0.25">
      <c r="A2" s="11">
        <v>36526</v>
      </c>
      <c r="B2" s="15">
        <v>1394.5</v>
      </c>
      <c r="C2" s="16"/>
      <c r="D2" s="17">
        <v>283.23</v>
      </c>
      <c r="E2" s="18">
        <v>169.3</v>
      </c>
      <c r="F2" s="16"/>
      <c r="G2" s="19">
        <v>1.0313000000000001</v>
      </c>
    </row>
    <row r="3" spans="1:7" x14ac:dyDescent="0.25">
      <c r="A3" s="11">
        <v>36557</v>
      </c>
      <c r="B3" s="15">
        <v>1366.4</v>
      </c>
      <c r="C3" s="16"/>
      <c r="D3" s="12">
        <v>292.12</v>
      </c>
      <c r="E3" s="18">
        <v>170</v>
      </c>
      <c r="F3" s="16"/>
      <c r="G3" s="19">
        <v>1.0367</v>
      </c>
    </row>
    <row r="4" spans="1:7" x14ac:dyDescent="0.25">
      <c r="A4" s="11">
        <v>36586</v>
      </c>
      <c r="B4" s="15">
        <v>1498.6</v>
      </c>
      <c r="C4" s="16"/>
      <c r="D4" s="12">
        <v>278.95</v>
      </c>
      <c r="E4" s="18">
        <v>171</v>
      </c>
      <c r="F4" s="16"/>
      <c r="G4" s="19">
        <v>1.0459000000000001</v>
      </c>
    </row>
    <row r="5" spans="1:7" x14ac:dyDescent="0.25">
      <c r="A5" s="11">
        <v>36617</v>
      </c>
      <c r="B5" s="15">
        <v>1452.4</v>
      </c>
      <c r="C5" s="16"/>
      <c r="D5" s="12">
        <v>273.5</v>
      </c>
      <c r="E5" s="18">
        <v>170.9</v>
      </c>
      <c r="F5" s="16"/>
      <c r="G5" s="19">
        <v>1.0959000000000001</v>
      </c>
    </row>
    <row r="6" spans="1:7" x14ac:dyDescent="0.25">
      <c r="A6" s="11">
        <v>36647</v>
      </c>
      <c r="B6" s="15">
        <v>1420.6</v>
      </c>
      <c r="C6" s="16"/>
      <c r="D6" s="12">
        <v>272.14999999999998</v>
      </c>
      <c r="E6" s="18">
        <v>171.2</v>
      </c>
      <c r="F6" s="16"/>
      <c r="G6" s="19">
        <v>1.0662</v>
      </c>
    </row>
    <row r="7" spans="1:7" x14ac:dyDescent="0.25">
      <c r="A7" s="11">
        <v>36678</v>
      </c>
      <c r="B7" s="15">
        <v>1454.6</v>
      </c>
      <c r="C7" s="16"/>
      <c r="D7" s="12">
        <v>290.10000000000002</v>
      </c>
      <c r="E7" s="18">
        <v>172.2</v>
      </c>
      <c r="F7" s="16"/>
      <c r="G7" s="19">
        <v>1.0498000000000001</v>
      </c>
    </row>
    <row r="8" spans="1:7" x14ac:dyDescent="0.25">
      <c r="A8" s="11">
        <v>36708</v>
      </c>
      <c r="B8" s="15">
        <v>1430.8</v>
      </c>
      <c r="C8" s="16"/>
      <c r="D8" s="12">
        <v>277.25</v>
      </c>
      <c r="E8" s="18">
        <v>172.7</v>
      </c>
      <c r="F8" s="16"/>
      <c r="G8" s="19">
        <v>1.0795999999999999</v>
      </c>
    </row>
    <row r="9" spans="1:7" x14ac:dyDescent="0.25">
      <c r="A9" s="11">
        <v>36739</v>
      </c>
      <c r="B9" s="15">
        <v>1517.7</v>
      </c>
      <c r="C9" s="16"/>
      <c r="D9" s="12">
        <v>277.75</v>
      </c>
      <c r="E9" s="18">
        <v>172.7</v>
      </c>
      <c r="F9" s="16"/>
      <c r="G9" s="19">
        <v>1.1254</v>
      </c>
    </row>
    <row r="10" spans="1:7" x14ac:dyDescent="0.25">
      <c r="A10" s="11">
        <v>36770</v>
      </c>
      <c r="B10" s="15">
        <v>1436.5</v>
      </c>
      <c r="C10" s="16"/>
      <c r="D10" s="12">
        <v>274.25</v>
      </c>
      <c r="E10" s="18">
        <v>173.6</v>
      </c>
      <c r="F10" s="16"/>
      <c r="G10" s="19">
        <v>1.1313</v>
      </c>
    </row>
    <row r="11" spans="1:7" x14ac:dyDescent="0.25">
      <c r="A11" s="11">
        <v>36800</v>
      </c>
      <c r="B11" s="15">
        <v>1429.4</v>
      </c>
      <c r="C11" s="16"/>
      <c r="D11" s="12">
        <v>265.05</v>
      </c>
      <c r="E11" s="18">
        <v>173.9</v>
      </c>
      <c r="F11" s="16"/>
      <c r="G11" s="19">
        <v>1.1778</v>
      </c>
    </row>
    <row r="12" spans="1:7" x14ac:dyDescent="0.25">
      <c r="A12" s="11">
        <v>36831</v>
      </c>
      <c r="B12" s="15">
        <v>1315</v>
      </c>
      <c r="C12" s="16"/>
      <c r="D12" s="12">
        <v>270.35000000000002</v>
      </c>
      <c r="E12" s="18">
        <v>174.2</v>
      </c>
      <c r="F12" s="16"/>
      <c r="G12" s="19">
        <v>1.1464000000000001</v>
      </c>
    </row>
    <row r="13" spans="1:7" x14ac:dyDescent="0.25">
      <c r="A13" s="11">
        <v>36861</v>
      </c>
      <c r="B13" s="15">
        <v>1320.3</v>
      </c>
      <c r="C13" s="16"/>
      <c r="D13" s="12">
        <v>272.39999999999998</v>
      </c>
      <c r="E13" s="18">
        <v>174.6</v>
      </c>
      <c r="F13" s="16"/>
      <c r="G13" s="19">
        <v>1.0610999999999999</v>
      </c>
    </row>
    <row r="14" spans="1:7" x14ac:dyDescent="0.25">
      <c r="A14" s="11">
        <v>36892</v>
      </c>
      <c r="B14" s="15">
        <v>1366</v>
      </c>
      <c r="C14" s="16"/>
      <c r="D14" s="12">
        <v>265.85000000000002</v>
      </c>
      <c r="E14" s="18">
        <v>175.6</v>
      </c>
      <c r="F14" s="16"/>
      <c r="G14" s="19">
        <v>1.0677000000000001</v>
      </c>
    </row>
    <row r="15" spans="1:7" x14ac:dyDescent="0.25">
      <c r="A15" s="11">
        <v>36923</v>
      </c>
      <c r="B15" s="15">
        <v>1239.9000000000001</v>
      </c>
      <c r="C15" s="16"/>
      <c r="D15" s="12">
        <v>267.25</v>
      </c>
      <c r="E15" s="18">
        <v>176</v>
      </c>
      <c r="F15" s="16"/>
      <c r="G15" s="19">
        <v>1.083</v>
      </c>
    </row>
    <row r="16" spans="1:7" x14ac:dyDescent="0.25">
      <c r="A16" s="11">
        <v>36951</v>
      </c>
      <c r="B16" s="15">
        <v>1160.3</v>
      </c>
      <c r="C16" s="16"/>
      <c r="D16" s="12">
        <v>257.95</v>
      </c>
      <c r="E16" s="18">
        <v>176.1</v>
      </c>
      <c r="F16" s="16"/>
      <c r="G16" s="19">
        <v>1.1393</v>
      </c>
    </row>
    <row r="17" spans="1:7" x14ac:dyDescent="0.25">
      <c r="A17" s="11">
        <v>36982</v>
      </c>
      <c r="B17" s="15">
        <v>1249.5</v>
      </c>
      <c r="C17" s="16"/>
      <c r="D17" s="12">
        <v>264.05</v>
      </c>
      <c r="E17" s="18">
        <v>176.4</v>
      </c>
      <c r="F17" s="16"/>
      <c r="G17" s="19">
        <v>1.1257999999999999</v>
      </c>
    </row>
    <row r="18" spans="1:7" x14ac:dyDescent="0.25">
      <c r="A18" s="11">
        <v>37012</v>
      </c>
      <c r="B18" s="15">
        <v>1255.8</v>
      </c>
      <c r="C18" s="16"/>
      <c r="D18" s="12">
        <v>266.05</v>
      </c>
      <c r="E18" s="18">
        <v>177.3</v>
      </c>
      <c r="F18" s="16"/>
      <c r="G18" s="19">
        <v>1.1820999999999999</v>
      </c>
    </row>
    <row r="19" spans="1:7" x14ac:dyDescent="0.25">
      <c r="A19" s="11">
        <v>37043</v>
      </c>
      <c r="B19" s="15">
        <v>1224.4000000000001</v>
      </c>
      <c r="C19" s="16"/>
      <c r="D19" s="12">
        <v>270.85000000000002</v>
      </c>
      <c r="E19" s="18">
        <v>177.7</v>
      </c>
      <c r="F19" s="16"/>
      <c r="G19" s="19">
        <v>1.1763999999999999</v>
      </c>
    </row>
    <row r="20" spans="1:7" x14ac:dyDescent="0.25">
      <c r="A20" s="11">
        <v>37073</v>
      </c>
      <c r="B20" s="15">
        <v>1211.2</v>
      </c>
      <c r="C20" s="16"/>
      <c r="D20" s="12">
        <v>266.85000000000002</v>
      </c>
      <c r="E20" s="18">
        <v>177.4</v>
      </c>
      <c r="F20" s="16"/>
      <c r="G20" s="19">
        <v>1.1412</v>
      </c>
    </row>
    <row r="21" spans="1:7" x14ac:dyDescent="0.25">
      <c r="A21" s="11">
        <v>37104</v>
      </c>
      <c r="B21" s="15">
        <v>1133.5999999999999</v>
      </c>
      <c r="C21" s="16"/>
      <c r="D21" s="12">
        <v>274.45</v>
      </c>
      <c r="E21" s="18">
        <v>177.4</v>
      </c>
      <c r="F21" s="16"/>
      <c r="G21" s="19">
        <v>1.0960000000000001</v>
      </c>
    </row>
    <row r="22" spans="1:7" x14ac:dyDescent="0.25">
      <c r="A22" s="11">
        <v>37135</v>
      </c>
      <c r="B22" s="15">
        <v>1040.9000000000001</v>
      </c>
      <c r="C22" s="20">
        <v>2.2099999999999998E-2</v>
      </c>
      <c r="D22" s="12">
        <v>292.95</v>
      </c>
      <c r="E22" s="18">
        <v>178.1</v>
      </c>
      <c r="F22" s="16"/>
      <c r="G22" s="19">
        <v>1.0969</v>
      </c>
    </row>
    <row r="23" spans="1:7" x14ac:dyDescent="0.25">
      <c r="A23" s="11">
        <v>37165</v>
      </c>
      <c r="B23" s="15">
        <v>1059.8</v>
      </c>
      <c r="C23" s="20">
        <v>2.1250000000000002E-2</v>
      </c>
      <c r="D23" s="12">
        <v>279.64999999999998</v>
      </c>
      <c r="E23" s="18">
        <v>177.6</v>
      </c>
      <c r="F23" s="16"/>
      <c r="G23" s="19">
        <v>1.1113</v>
      </c>
    </row>
    <row r="24" spans="1:7" x14ac:dyDescent="0.25">
      <c r="A24" s="11">
        <v>37196</v>
      </c>
      <c r="B24" s="15">
        <v>1139.5</v>
      </c>
      <c r="C24" s="20">
        <v>1.8500000000000003E-2</v>
      </c>
      <c r="D24" s="12">
        <v>274.39999999999998</v>
      </c>
      <c r="E24" s="18">
        <v>177.5</v>
      </c>
      <c r="F24" s="16"/>
      <c r="G24" s="19">
        <v>1.1154999999999999</v>
      </c>
    </row>
    <row r="25" spans="1:7" x14ac:dyDescent="0.25">
      <c r="A25" s="11">
        <v>37226</v>
      </c>
      <c r="B25" s="15">
        <v>1148.0999999999999</v>
      </c>
      <c r="C25" s="20">
        <v>1.72E-2</v>
      </c>
      <c r="D25" s="12">
        <v>278.95</v>
      </c>
      <c r="E25" s="18">
        <v>177.4</v>
      </c>
      <c r="F25" s="16"/>
      <c r="G25" s="19">
        <v>1.1225000000000001</v>
      </c>
    </row>
    <row r="26" spans="1:7" x14ac:dyDescent="0.25">
      <c r="A26" s="11">
        <v>37257</v>
      </c>
      <c r="B26" s="15">
        <v>1130.2</v>
      </c>
      <c r="C26" s="20">
        <v>1.6899999999999998E-2</v>
      </c>
      <c r="D26" s="12">
        <v>282.35000000000002</v>
      </c>
      <c r="E26" s="18">
        <v>177.7</v>
      </c>
      <c r="F26" s="16"/>
      <c r="G26" s="19">
        <v>1.1646000000000001</v>
      </c>
    </row>
    <row r="27" spans="1:7" x14ac:dyDescent="0.25">
      <c r="A27" s="11">
        <v>37288</v>
      </c>
      <c r="B27" s="15">
        <v>1106.7</v>
      </c>
      <c r="C27" s="20">
        <v>1.7659999999999999E-2</v>
      </c>
      <c r="D27" s="12">
        <v>296.95</v>
      </c>
      <c r="E27" s="18">
        <v>178</v>
      </c>
      <c r="F27" s="16"/>
      <c r="G27" s="19">
        <v>1.1509</v>
      </c>
    </row>
    <row r="28" spans="1:7" x14ac:dyDescent="0.25">
      <c r="A28" s="11">
        <v>37316</v>
      </c>
      <c r="B28" s="15">
        <v>1147.4000000000001</v>
      </c>
      <c r="C28" s="20">
        <v>1.7610000000000001E-2</v>
      </c>
      <c r="D28" s="12">
        <v>302.7</v>
      </c>
      <c r="E28" s="18">
        <v>178.5</v>
      </c>
      <c r="F28" s="16"/>
      <c r="G28" s="19">
        <v>1.1471</v>
      </c>
    </row>
    <row r="29" spans="1:7" x14ac:dyDescent="0.25">
      <c r="A29" s="11">
        <v>37347</v>
      </c>
      <c r="B29" s="15">
        <v>1076.9000000000001</v>
      </c>
      <c r="C29" s="20">
        <v>1.772E-2</v>
      </c>
      <c r="D29" s="12">
        <v>308.35000000000002</v>
      </c>
      <c r="E29" s="18">
        <v>179.3</v>
      </c>
      <c r="F29" s="16"/>
      <c r="G29" s="19">
        <v>1.1108</v>
      </c>
    </row>
    <row r="30" spans="1:7" x14ac:dyDescent="0.25">
      <c r="A30" s="11">
        <v>37377</v>
      </c>
      <c r="B30" s="15">
        <v>1067.0999999999999</v>
      </c>
      <c r="C30" s="20">
        <v>1.72E-2</v>
      </c>
      <c r="D30" s="12">
        <v>326.55</v>
      </c>
      <c r="E30" s="18">
        <v>179.5</v>
      </c>
      <c r="F30" s="16"/>
      <c r="G30" s="19">
        <v>1.0708</v>
      </c>
    </row>
    <row r="31" spans="1:7" x14ac:dyDescent="0.25">
      <c r="A31" s="11">
        <v>37408</v>
      </c>
      <c r="B31" s="15">
        <v>989.8</v>
      </c>
      <c r="C31" s="20">
        <v>1.7000000000000001E-2</v>
      </c>
      <c r="D31" s="12">
        <v>314.62</v>
      </c>
      <c r="E31" s="18">
        <v>179.6</v>
      </c>
      <c r="F31" s="16"/>
      <c r="G31" s="19">
        <v>1.0085999999999999</v>
      </c>
    </row>
    <row r="32" spans="1:7" x14ac:dyDescent="0.25">
      <c r="A32" s="11">
        <v>37438</v>
      </c>
      <c r="B32" s="15">
        <v>911.6</v>
      </c>
      <c r="C32" s="20">
        <v>1.7310000000000002E-2</v>
      </c>
      <c r="D32" s="12">
        <v>303.55</v>
      </c>
      <c r="E32" s="18">
        <v>180</v>
      </c>
      <c r="F32" s="16"/>
      <c r="G32" s="19">
        <v>1.0228999999999999</v>
      </c>
    </row>
    <row r="33" spans="1:7" x14ac:dyDescent="0.25">
      <c r="A33" s="11">
        <v>37469</v>
      </c>
      <c r="B33" s="15">
        <v>916.1</v>
      </c>
      <c r="C33" s="20">
        <v>1.7100000000000001E-2</v>
      </c>
      <c r="D33" s="12">
        <v>312.75</v>
      </c>
      <c r="E33" s="18">
        <v>180.5</v>
      </c>
      <c r="F33" s="16"/>
      <c r="G33" s="19">
        <v>1.0183</v>
      </c>
    </row>
    <row r="34" spans="1:7" x14ac:dyDescent="0.25">
      <c r="A34" s="11">
        <v>37500</v>
      </c>
      <c r="B34" s="15">
        <v>815.3</v>
      </c>
      <c r="C34" s="20">
        <v>1.593E-2</v>
      </c>
      <c r="D34" s="12">
        <v>323.75</v>
      </c>
      <c r="E34" s="18">
        <v>180.8</v>
      </c>
      <c r="F34" s="16"/>
      <c r="G34" s="19">
        <v>1.0135000000000001</v>
      </c>
    </row>
    <row r="35" spans="1:7" x14ac:dyDescent="0.25">
      <c r="A35" s="11">
        <v>37530</v>
      </c>
      <c r="B35" s="15">
        <v>885.8</v>
      </c>
      <c r="C35" s="20">
        <v>1.5679999999999999E-2</v>
      </c>
      <c r="D35" s="12">
        <v>317.8</v>
      </c>
      <c r="E35" s="18">
        <v>181.2</v>
      </c>
      <c r="F35" s="16"/>
      <c r="G35" s="19">
        <v>1.0096000000000001</v>
      </c>
    </row>
    <row r="36" spans="1:7" x14ac:dyDescent="0.25">
      <c r="A36" s="11">
        <v>37561</v>
      </c>
      <c r="B36" s="15">
        <v>936.3</v>
      </c>
      <c r="C36" s="20">
        <v>1.2619999999999999E-2</v>
      </c>
      <c r="D36" s="12">
        <v>319.05</v>
      </c>
      <c r="E36" s="18">
        <v>181.5</v>
      </c>
      <c r="F36" s="16"/>
      <c r="G36" s="19">
        <v>1.0053000000000001</v>
      </c>
    </row>
    <row r="37" spans="1:7" x14ac:dyDescent="0.25">
      <c r="A37" s="11">
        <v>37591</v>
      </c>
      <c r="B37" s="15">
        <v>879.8</v>
      </c>
      <c r="C37" s="20">
        <v>1.2110000000000001E-2</v>
      </c>
      <c r="D37" s="12">
        <v>347</v>
      </c>
      <c r="E37" s="18">
        <v>181.8</v>
      </c>
      <c r="F37" s="16"/>
      <c r="G37" s="19">
        <v>0.95240000000000002</v>
      </c>
    </row>
    <row r="38" spans="1:7" x14ac:dyDescent="0.25">
      <c r="A38" s="11">
        <v>37622</v>
      </c>
      <c r="B38" s="15">
        <v>855.7</v>
      </c>
      <c r="C38" s="20">
        <v>1.1650000000000001E-2</v>
      </c>
      <c r="D38" s="12">
        <v>368.48</v>
      </c>
      <c r="E38" s="18">
        <v>182.6</v>
      </c>
      <c r="F38" s="16"/>
      <c r="G38" s="19">
        <v>0.9284</v>
      </c>
    </row>
    <row r="39" spans="1:7" x14ac:dyDescent="0.25">
      <c r="A39" s="11">
        <v>37653</v>
      </c>
      <c r="B39" s="15">
        <v>841.1</v>
      </c>
      <c r="C39" s="20">
        <v>1.201E-2</v>
      </c>
      <c r="D39" s="12">
        <v>349.85</v>
      </c>
      <c r="E39" s="18">
        <v>183.6</v>
      </c>
      <c r="F39" s="16"/>
      <c r="G39" s="19">
        <v>0.92620000000000002</v>
      </c>
    </row>
    <row r="40" spans="1:7" x14ac:dyDescent="0.25">
      <c r="A40" s="11">
        <v>37681</v>
      </c>
      <c r="B40" s="15">
        <v>848.2</v>
      </c>
      <c r="C40" s="20">
        <v>1.1599999999999999E-2</v>
      </c>
      <c r="D40" s="12">
        <v>337.48</v>
      </c>
      <c r="E40" s="18">
        <v>183.9</v>
      </c>
      <c r="F40" s="16"/>
      <c r="G40" s="19">
        <v>0.91520000000000001</v>
      </c>
    </row>
    <row r="41" spans="1:7" x14ac:dyDescent="0.25">
      <c r="A41" s="11">
        <v>37712</v>
      </c>
      <c r="B41" s="15">
        <v>916.9</v>
      </c>
      <c r="C41" s="20">
        <v>1.129E-2</v>
      </c>
      <c r="D41" s="12">
        <v>339.62</v>
      </c>
      <c r="E41" s="18">
        <v>183.2</v>
      </c>
      <c r="F41" s="16"/>
      <c r="G41" s="19">
        <v>0.89390000000000003</v>
      </c>
    </row>
    <row r="42" spans="1:7" x14ac:dyDescent="0.25">
      <c r="A42" s="11">
        <v>37742</v>
      </c>
      <c r="B42" s="15">
        <v>963.6</v>
      </c>
      <c r="C42" s="20">
        <v>1.1650000000000001E-2</v>
      </c>
      <c r="D42" s="12">
        <v>364.98</v>
      </c>
      <c r="E42" s="18">
        <v>182.9</v>
      </c>
      <c r="F42" s="16"/>
      <c r="G42" s="19">
        <v>0.84830000000000005</v>
      </c>
    </row>
    <row r="43" spans="1:7" x14ac:dyDescent="0.25">
      <c r="A43" s="11">
        <v>37773</v>
      </c>
      <c r="B43" s="15">
        <v>974.5</v>
      </c>
      <c r="C43" s="20">
        <v>7.8300000000000002E-3</v>
      </c>
      <c r="D43" s="12">
        <v>346.4</v>
      </c>
      <c r="E43" s="18">
        <v>183.1</v>
      </c>
      <c r="F43" s="16"/>
      <c r="G43" s="19">
        <v>0.86870000000000003</v>
      </c>
    </row>
    <row r="44" spans="1:7" x14ac:dyDescent="0.25">
      <c r="A44" s="11">
        <v>37803</v>
      </c>
      <c r="B44" s="15">
        <v>990.3</v>
      </c>
      <c r="C44" s="20">
        <v>8.8999999999999999E-3</v>
      </c>
      <c r="D44" s="12">
        <v>355</v>
      </c>
      <c r="E44" s="18">
        <v>183.7</v>
      </c>
      <c r="F44" s="16"/>
      <c r="G44" s="19">
        <v>0.89039999999999997</v>
      </c>
    </row>
    <row r="45" spans="1:7" x14ac:dyDescent="0.25">
      <c r="A45" s="11">
        <v>37834</v>
      </c>
      <c r="B45" s="15">
        <v>1008</v>
      </c>
      <c r="C45" s="20">
        <v>9.7699999999999992E-3</v>
      </c>
      <c r="D45" s="12">
        <v>375.57</v>
      </c>
      <c r="E45" s="18">
        <v>184.5</v>
      </c>
      <c r="F45" s="16"/>
      <c r="G45" s="19">
        <v>0.91069999999999995</v>
      </c>
    </row>
    <row r="46" spans="1:7" x14ac:dyDescent="0.25">
      <c r="A46" s="11">
        <v>37865</v>
      </c>
      <c r="B46" s="15">
        <v>996</v>
      </c>
      <c r="C46" s="20">
        <v>8.7500000000000008E-3</v>
      </c>
      <c r="D46" s="12">
        <v>385.25</v>
      </c>
      <c r="E46" s="18">
        <v>185.1</v>
      </c>
      <c r="F46" s="16"/>
      <c r="G46" s="19">
        <v>0.85770000000000002</v>
      </c>
    </row>
    <row r="47" spans="1:7" x14ac:dyDescent="0.25">
      <c r="A47" s="11">
        <v>37895</v>
      </c>
      <c r="B47" s="15">
        <v>1050.7</v>
      </c>
      <c r="C47" s="20">
        <v>9.6100000000000005E-3</v>
      </c>
      <c r="D47" s="12">
        <v>384.4</v>
      </c>
      <c r="E47" s="18">
        <v>184.9</v>
      </c>
      <c r="F47" s="16"/>
      <c r="G47" s="19">
        <v>0.86319999999999997</v>
      </c>
    </row>
    <row r="48" spans="1:7" x14ac:dyDescent="0.25">
      <c r="A48" s="11">
        <v>37926</v>
      </c>
      <c r="B48" s="15">
        <v>1058.2</v>
      </c>
      <c r="C48" s="20">
        <v>9.5599999999999991E-3</v>
      </c>
      <c r="D48" s="12">
        <v>397.88</v>
      </c>
      <c r="E48" s="18">
        <v>185</v>
      </c>
      <c r="F48" s="16"/>
      <c r="G48" s="19">
        <v>0.8337</v>
      </c>
    </row>
    <row r="49" spans="1:7" x14ac:dyDescent="0.25">
      <c r="A49" s="11">
        <v>37956</v>
      </c>
      <c r="B49" s="15">
        <v>1111.9000000000001</v>
      </c>
      <c r="C49" s="20">
        <v>8.9499999999999996E-3</v>
      </c>
      <c r="D49" s="12">
        <v>415.05</v>
      </c>
      <c r="E49" s="18">
        <v>185.5</v>
      </c>
      <c r="F49" s="16"/>
      <c r="G49" s="19">
        <v>0.79449999999999998</v>
      </c>
    </row>
    <row r="50" spans="1:7" x14ac:dyDescent="0.25">
      <c r="A50" s="11">
        <v>37987</v>
      </c>
      <c r="B50" s="15">
        <v>1131.0999999999999</v>
      </c>
      <c r="C50" s="20">
        <v>8.4399999999999996E-3</v>
      </c>
      <c r="D50" s="12">
        <v>402.57</v>
      </c>
      <c r="E50" s="18">
        <v>186.3</v>
      </c>
      <c r="F50" s="16"/>
      <c r="G50" s="19">
        <v>0.80179999999999996</v>
      </c>
    </row>
    <row r="51" spans="1:7" x14ac:dyDescent="0.25">
      <c r="A51" s="11">
        <v>38018</v>
      </c>
      <c r="B51" s="15">
        <v>1144.9000000000001</v>
      </c>
      <c r="C51" s="20">
        <v>9.4599999999999997E-3</v>
      </c>
      <c r="D51" s="12">
        <v>396.45</v>
      </c>
      <c r="E51" s="18">
        <v>186.7</v>
      </c>
      <c r="F51" s="16"/>
      <c r="G51" s="19">
        <v>0.80049999999999999</v>
      </c>
    </row>
    <row r="52" spans="1:7" x14ac:dyDescent="0.25">
      <c r="A52" s="11">
        <v>38047</v>
      </c>
      <c r="B52" s="15">
        <v>1126.2</v>
      </c>
      <c r="C52" s="20">
        <v>9.5599999999999991E-3</v>
      </c>
      <c r="D52" s="12">
        <v>426.62</v>
      </c>
      <c r="E52" s="18">
        <v>187.1</v>
      </c>
      <c r="F52" s="16"/>
      <c r="G52" s="19">
        <v>0.81230000000000002</v>
      </c>
    </row>
    <row r="53" spans="1:7" x14ac:dyDescent="0.25">
      <c r="A53" s="11">
        <v>38078</v>
      </c>
      <c r="B53" s="15">
        <v>1107.3</v>
      </c>
      <c r="C53" s="20">
        <v>8.2899999999999988E-3</v>
      </c>
      <c r="D53" s="12">
        <v>387.6</v>
      </c>
      <c r="E53" s="18">
        <v>187.4</v>
      </c>
      <c r="F53" s="16"/>
      <c r="G53" s="19">
        <v>0.83440000000000003</v>
      </c>
    </row>
    <row r="54" spans="1:7" x14ac:dyDescent="0.25">
      <c r="A54" s="11">
        <v>38108</v>
      </c>
      <c r="B54" s="15">
        <v>1120.7</v>
      </c>
      <c r="C54" s="20">
        <v>9.3100000000000006E-3</v>
      </c>
      <c r="D54" s="12">
        <v>395.5</v>
      </c>
      <c r="E54" s="18">
        <v>188.2</v>
      </c>
      <c r="F54" s="16"/>
      <c r="G54" s="19">
        <v>0.8206</v>
      </c>
    </row>
    <row r="55" spans="1:7" x14ac:dyDescent="0.25">
      <c r="A55" s="11">
        <v>38139</v>
      </c>
      <c r="B55" s="15">
        <v>1140.8</v>
      </c>
      <c r="C55" s="20">
        <v>1.15E-2</v>
      </c>
      <c r="D55" s="12">
        <v>394.38</v>
      </c>
      <c r="E55" s="18">
        <v>188.9</v>
      </c>
      <c r="F55" s="16"/>
      <c r="G55" s="19">
        <v>0.8206</v>
      </c>
    </row>
    <row r="56" spans="1:7" x14ac:dyDescent="0.25">
      <c r="A56" s="11">
        <v>38169</v>
      </c>
      <c r="B56" s="15">
        <v>1101.7</v>
      </c>
      <c r="C56" s="20">
        <v>1.252E-2</v>
      </c>
      <c r="D56" s="12">
        <v>391.25</v>
      </c>
      <c r="E56" s="18">
        <v>189.1</v>
      </c>
      <c r="F56" s="16"/>
      <c r="G56" s="19">
        <v>0.83250000000000002</v>
      </c>
    </row>
    <row r="57" spans="1:7" x14ac:dyDescent="0.25">
      <c r="A57" s="11">
        <v>38200</v>
      </c>
      <c r="B57" s="15">
        <v>1104.2</v>
      </c>
      <c r="C57" s="20">
        <v>1.4570000000000001E-2</v>
      </c>
      <c r="D57" s="12">
        <v>409.82</v>
      </c>
      <c r="E57" s="18">
        <v>189.2</v>
      </c>
      <c r="F57" s="16"/>
      <c r="G57" s="19">
        <v>0.8206</v>
      </c>
    </row>
    <row r="58" spans="1:7" x14ac:dyDescent="0.25">
      <c r="A58" s="11">
        <v>38231</v>
      </c>
      <c r="B58" s="15">
        <v>1114.5999999999999</v>
      </c>
      <c r="C58" s="20">
        <v>1.4610000000000001E-2</v>
      </c>
      <c r="D58" s="12">
        <v>418.25</v>
      </c>
      <c r="E58" s="18">
        <v>189.8</v>
      </c>
      <c r="F58" s="16"/>
      <c r="G58" s="19">
        <v>0.8044</v>
      </c>
    </row>
    <row r="59" spans="1:7" x14ac:dyDescent="0.25">
      <c r="A59" s="11">
        <v>38261</v>
      </c>
      <c r="B59" s="15">
        <v>1130.2</v>
      </c>
      <c r="C59" s="20">
        <v>1.746E-2</v>
      </c>
      <c r="D59" s="12">
        <v>428.52</v>
      </c>
      <c r="E59" s="18">
        <v>190.8</v>
      </c>
      <c r="F59" s="16"/>
      <c r="G59" s="19">
        <v>0.78220000000000001</v>
      </c>
    </row>
    <row r="60" spans="1:7" x14ac:dyDescent="0.25">
      <c r="A60" s="11">
        <v>38292</v>
      </c>
      <c r="B60" s="15">
        <v>1173.8</v>
      </c>
      <c r="C60" s="20">
        <v>2.0670000000000001E-2</v>
      </c>
      <c r="D60" s="12">
        <v>450.88</v>
      </c>
      <c r="E60" s="18">
        <v>191.7</v>
      </c>
      <c r="F60" s="16"/>
      <c r="G60" s="19">
        <v>0.75229999999999997</v>
      </c>
    </row>
    <row r="61" spans="1:7" x14ac:dyDescent="0.25">
      <c r="A61" s="11">
        <v>38322</v>
      </c>
      <c r="B61" s="15">
        <v>1211.9000000000001</v>
      </c>
      <c r="C61" s="20">
        <v>1.873E-2</v>
      </c>
      <c r="D61" s="12">
        <v>438.45</v>
      </c>
      <c r="E61" s="18">
        <v>191.7</v>
      </c>
      <c r="F61" s="16"/>
      <c r="G61" s="19">
        <v>0.73760000000000003</v>
      </c>
    </row>
    <row r="62" spans="1:7" x14ac:dyDescent="0.25">
      <c r="A62" s="11">
        <v>38353</v>
      </c>
      <c r="B62" s="15">
        <v>1181.3</v>
      </c>
      <c r="C62" s="20">
        <v>2.0099999999999996E-2</v>
      </c>
      <c r="D62" s="12">
        <v>422.62</v>
      </c>
      <c r="E62" s="18">
        <v>191.6</v>
      </c>
      <c r="F62" s="16"/>
      <c r="G62" s="19">
        <v>0.76729999999999998</v>
      </c>
    </row>
    <row r="63" spans="1:7" x14ac:dyDescent="0.25">
      <c r="A63" s="11">
        <v>38384</v>
      </c>
      <c r="B63" s="15">
        <v>1203.5999999999999</v>
      </c>
      <c r="C63" s="20">
        <v>2.503E-2</v>
      </c>
      <c r="D63" s="12">
        <v>435.62</v>
      </c>
      <c r="E63" s="18">
        <v>192.4</v>
      </c>
      <c r="F63" s="16"/>
      <c r="G63" s="19">
        <v>0.75560000000000005</v>
      </c>
    </row>
    <row r="64" spans="1:7" x14ac:dyDescent="0.25">
      <c r="A64" s="11">
        <v>38412</v>
      </c>
      <c r="B64" s="15">
        <v>1180.5999999999999</v>
      </c>
      <c r="C64" s="20">
        <v>2.6200000000000001E-2</v>
      </c>
      <c r="D64" s="12">
        <v>428.45</v>
      </c>
      <c r="E64" s="18">
        <v>193.1</v>
      </c>
      <c r="F64" s="16"/>
      <c r="G64" s="19">
        <v>0.77129999999999999</v>
      </c>
    </row>
    <row r="65" spans="1:7" x14ac:dyDescent="0.25">
      <c r="A65" s="11">
        <v>38443</v>
      </c>
      <c r="B65" s="15">
        <v>1156.8</v>
      </c>
      <c r="C65" s="20">
        <v>2.6610000000000002E-2</v>
      </c>
      <c r="D65" s="12">
        <v>434.88</v>
      </c>
      <c r="E65" s="18">
        <v>193.7</v>
      </c>
      <c r="F65" s="16"/>
      <c r="G65" s="19">
        <v>0.77680000000000005</v>
      </c>
    </row>
    <row r="66" spans="1:7" x14ac:dyDescent="0.25">
      <c r="A66" s="11">
        <v>38473</v>
      </c>
      <c r="B66" s="15">
        <v>1191.5</v>
      </c>
      <c r="C66" s="20">
        <v>2.793E-2</v>
      </c>
      <c r="D66" s="12">
        <v>417.35</v>
      </c>
      <c r="E66" s="18">
        <v>193.6</v>
      </c>
      <c r="F66" s="16"/>
      <c r="G66" s="19">
        <v>0.81240000000000001</v>
      </c>
    </row>
    <row r="67" spans="1:7" x14ac:dyDescent="0.25">
      <c r="A67" s="11">
        <v>38504</v>
      </c>
      <c r="B67" s="15">
        <v>1191.3</v>
      </c>
      <c r="C67" s="20">
        <v>2.9919999999999999E-2</v>
      </c>
      <c r="D67" s="12">
        <v>435.25</v>
      </c>
      <c r="E67" s="18">
        <v>193.7</v>
      </c>
      <c r="F67" s="16"/>
      <c r="G67" s="19">
        <v>0.82620000000000005</v>
      </c>
    </row>
    <row r="68" spans="1:7" x14ac:dyDescent="0.25">
      <c r="A68" s="11">
        <v>38534</v>
      </c>
      <c r="B68" s="15">
        <v>1234.2</v>
      </c>
      <c r="C68" s="20">
        <v>3.236E-2</v>
      </c>
      <c r="D68" s="12">
        <v>430.2</v>
      </c>
      <c r="E68" s="18">
        <v>194.9</v>
      </c>
      <c r="F68" s="16"/>
      <c r="G68" s="19">
        <v>0.82440000000000002</v>
      </c>
    </row>
    <row r="69" spans="1:7" x14ac:dyDescent="0.25">
      <c r="A69" s="11">
        <v>38565</v>
      </c>
      <c r="B69" s="15">
        <v>1220.3</v>
      </c>
      <c r="C69" s="20">
        <v>3.4000000000000002E-2</v>
      </c>
      <c r="D69" s="12">
        <v>435.25</v>
      </c>
      <c r="E69" s="18">
        <v>196.1</v>
      </c>
      <c r="F69" s="16"/>
      <c r="G69" s="19">
        <v>0.81010000000000004</v>
      </c>
    </row>
    <row r="70" spans="1:7" x14ac:dyDescent="0.25">
      <c r="A70" s="11">
        <v>38596</v>
      </c>
      <c r="B70" s="15">
        <v>1228.8</v>
      </c>
      <c r="C70" s="20">
        <v>3.124E-2</v>
      </c>
      <c r="D70" s="12">
        <v>469.15</v>
      </c>
      <c r="E70" s="18">
        <v>198.8</v>
      </c>
      <c r="F70" s="16"/>
      <c r="G70" s="19">
        <v>0.83109999999999995</v>
      </c>
    </row>
    <row r="71" spans="1:7" x14ac:dyDescent="0.25">
      <c r="A71" s="11">
        <v>38626</v>
      </c>
      <c r="B71" s="15">
        <v>1207</v>
      </c>
      <c r="C71" s="20">
        <v>3.7400000000000003E-2</v>
      </c>
      <c r="D71" s="12">
        <v>465.2</v>
      </c>
      <c r="E71" s="18">
        <v>199.1</v>
      </c>
      <c r="F71" s="16"/>
      <c r="G71" s="19">
        <v>0.83409999999999995</v>
      </c>
    </row>
    <row r="72" spans="1:7" x14ac:dyDescent="0.25">
      <c r="A72" s="11">
        <v>38657</v>
      </c>
      <c r="B72" s="15">
        <v>1249.5</v>
      </c>
      <c r="C72" s="20">
        <v>3.9960000000000002E-2</v>
      </c>
      <c r="D72" s="12">
        <v>493.85</v>
      </c>
      <c r="E72" s="18">
        <v>198.1</v>
      </c>
      <c r="F72" s="16"/>
      <c r="G72" s="19">
        <v>0.84819999999999995</v>
      </c>
    </row>
    <row r="73" spans="1:7" x14ac:dyDescent="0.25">
      <c r="A73" s="11">
        <v>38687</v>
      </c>
      <c r="B73" s="15">
        <v>1248.3</v>
      </c>
      <c r="C73" s="20">
        <v>4.0300000000000002E-2</v>
      </c>
      <c r="D73" s="12">
        <v>517.6</v>
      </c>
      <c r="E73" s="18">
        <v>198.1</v>
      </c>
      <c r="F73" s="16"/>
      <c r="G73" s="19">
        <v>0.84419999999999995</v>
      </c>
    </row>
    <row r="74" spans="1:7" x14ac:dyDescent="0.25">
      <c r="A74" s="11">
        <v>38718</v>
      </c>
      <c r="B74" s="15">
        <v>1280.0999999999999</v>
      </c>
      <c r="C74" s="20">
        <v>4.3589999999999997E-2</v>
      </c>
      <c r="D74" s="12">
        <v>568.95000000000005</v>
      </c>
      <c r="E74" s="18">
        <v>199.3</v>
      </c>
      <c r="F74" s="16"/>
      <c r="G74" s="19">
        <v>0.82269999999999999</v>
      </c>
    </row>
    <row r="75" spans="1:7" x14ac:dyDescent="0.25">
      <c r="A75" s="11">
        <v>38749</v>
      </c>
      <c r="B75" s="15">
        <v>1280.7</v>
      </c>
      <c r="C75" s="20">
        <v>4.4760000000000001E-2</v>
      </c>
      <c r="D75" s="12">
        <v>561.75</v>
      </c>
      <c r="E75" s="18">
        <v>199.4</v>
      </c>
      <c r="F75" s="16"/>
      <c r="G75" s="19">
        <v>0.83889999999999998</v>
      </c>
    </row>
    <row r="76" spans="1:7" x14ac:dyDescent="0.25">
      <c r="A76" s="11">
        <v>38777</v>
      </c>
      <c r="B76" s="15">
        <v>1294.8</v>
      </c>
      <c r="C76" s="20">
        <v>4.6529999999999995E-2</v>
      </c>
      <c r="D76" s="12">
        <v>583.65</v>
      </c>
      <c r="E76" s="18">
        <v>199.7</v>
      </c>
      <c r="F76" s="16"/>
      <c r="G76" s="19">
        <v>0.82520000000000004</v>
      </c>
    </row>
    <row r="77" spans="1:7" x14ac:dyDescent="0.25">
      <c r="A77" s="11">
        <v>38808</v>
      </c>
      <c r="B77" s="15">
        <v>1310.5999999999999</v>
      </c>
      <c r="C77" s="20">
        <v>4.5810000000000003E-2</v>
      </c>
      <c r="D77" s="12">
        <v>654.5</v>
      </c>
      <c r="E77" s="18">
        <v>200.7</v>
      </c>
      <c r="F77" s="16"/>
      <c r="G77" s="19">
        <v>0.79149999999999998</v>
      </c>
    </row>
    <row r="78" spans="1:7" x14ac:dyDescent="0.25">
      <c r="A78" s="11">
        <v>38838</v>
      </c>
      <c r="B78" s="15">
        <v>1270.0999999999999</v>
      </c>
      <c r="C78" s="20">
        <v>4.752E-2</v>
      </c>
      <c r="D78" s="12">
        <v>643.70000000000005</v>
      </c>
      <c r="E78" s="18">
        <v>201.3</v>
      </c>
      <c r="F78" s="16"/>
      <c r="G78" s="19">
        <v>0.78039999999999998</v>
      </c>
    </row>
    <row r="79" spans="1:7" x14ac:dyDescent="0.25">
      <c r="A79" s="11">
        <v>38869</v>
      </c>
      <c r="B79" s="15">
        <v>1270.2</v>
      </c>
      <c r="C79" s="20">
        <v>4.4839999999999998E-2</v>
      </c>
      <c r="D79" s="12">
        <v>613.1</v>
      </c>
      <c r="E79" s="18">
        <v>201.8</v>
      </c>
      <c r="F79" s="16"/>
      <c r="G79" s="19">
        <v>0.78180000000000005</v>
      </c>
    </row>
    <row r="80" spans="1:7" x14ac:dyDescent="0.25">
      <c r="A80" s="11">
        <v>38899</v>
      </c>
      <c r="B80" s="15">
        <v>1276.7</v>
      </c>
      <c r="C80" s="20">
        <v>5.0140000000000004E-2</v>
      </c>
      <c r="D80" s="12">
        <v>634.58000000000004</v>
      </c>
      <c r="E80" s="18">
        <v>202.9</v>
      </c>
      <c r="F80" s="16"/>
      <c r="G80" s="19">
        <v>0.78339999999999999</v>
      </c>
    </row>
    <row r="81" spans="1:7" x14ac:dyDescent="0.25">
      <c r="A81" s="11">
        <v>38930</v>
      </c>
      <c r="B81" s="15">
        <v>1303.8</v>
      </c>
      <c r="C81" s="20">
        <v>5.1239999999999994E-2</v>
      </c>
      <c r="D81" s="12">
        <v>626.9</v>
      </c>
      <c r="E81" s="18">
        <v>203.8</v>
      </c>
      <c r="F81" s="16"/>
      <c r="G81" s="19">
        <v>0.78090000000000004</v>
      </c>
    </row>
    <row r="82" spans="1:7" x14ac:dyDescent="0.25">
      <c r="A82" s="11">
        <v>38961</v>
      </c>
      <c r="B82" s="15">
        <v>1335.8</v>
      </c>
      <c r="C82" s="20">
        <v>4.5810000000000003E-2</v>
      </c>
      <c r="D82" s="12">
        <v>598.29999999999995</v>
      </c>
      <c r="E82" s="18">
        <v>202.8</v>
      </c>
      <c r="F82" s="16"/>
      <c r="G82" s="19">
        <v>0.78920000000000001</v>
      </c>
    </row>
    <row r="83" spans="1:7" x14ac:dyDescent="0.25">
      <c r="A83" s="11">
        <v>38991</v>
      </c>
      <c r="B83" s="15">
        <v>1377.9</v>
      </c>
      <c r="C83" s="20">
        <v>5.1920000000000001E-2</v>
      </c>
      <c r="D83" s="12">
        <v>606.6</v>
      </c>
      <c r="E83" s="18">
        <v>201.9</v>
      </c>
      <c r="F83" s="16"/>
      <c r="G83" s="19">
        <v>0.78339999999999999</v>
      </c>
    </row>
    <row r="84" spans="1:7" x14ac:dyDescent="0.25">
      <c r="A84" s="11">
        <v>39022</v>
      </c>
      <c r="B84" s="15">
        <v>1400.6</v>
      </c>
      <c r="C84" s="20">
        <v>5.2519999999999997E-2</v>
      </c>
      <c r="D84" s="12">
        <v>648.29999999999995</v>
      </c>
      <c r="E84" s="18">
        <v>202</v>
      </c>
      <c r="F84" s="16"/>
      <c r="G84" s="19">
        <v>0.75519999999999998</v>
      </c>
    </row>
    <row r="85" spans="1:7" x14ac:dyDescent="0.25">
      <c r="A85" s="11">
        <v>39052</v>
      </c>
      <c r="B85" s="15">
        <v>1418.3</v>
      </c>
      <c r="C85" s="20">
        <v>4.718E-2</v>
      </c>
      <c r="D85" s="12">
        <v>636.79999999999995</v>
      </c>
      <c r="E85" s="18">
        <v>203.1</v>
      </c>
      <c r="F85" s="16"/>
      <c r="G85" s="19">
        <v>0.75749999999999995</v>
      </c>
    </row>
    <row r="86" spans="1:7" x14ac:dyDescent="0.25">
      <c r="A86" s="11">
        <v>39083</v>
      </c>
      <c r="B86" s="15">
        <v>1438.2</v>
      </c>
      <c r="C86" s="20">
        <v>4.9869999999999998E-2</v>
      </c>
      <c r="D86" s="12">
        <v>653.20000000000005</v>
      </c>
      <c r="E86" s="18">
        <v>203.43700000000001</v>
      </c>
      <c r="F86" s="16"/>
      <c r="G86" s="19">
        <v>0.76719999999999999</v>
      </c>
    </row>
    <row r="87" spans="1:7" x14ac:dyDescent="0.25">
      <c r="A87" s="11">
        <v>39114</v>
      </c>
      <c r="B87" s="15">
        <v>1406.8</v>
      </c>
      <c r="C87" s="20">
        <v>5.2320000000000005E-2</v>
      </c>
      <c r="D87" s="12">
        <v>669.95</v>
      </c>
      <c r="E87" s="18">
        <v>204.226</v>
      </c>
      <c r="F87" s="16"/>
      <c r="G87" s="19">
        <v>0.75570000000000004</v>
      </c>
    </row>
    <row r="88" spans="1:7" x14ac:dyDescent="0.25">
      <c r="A88" s="11">
        <v>39142</v>
      </c>
      <c r="B88" s="15">
        <v>1420.9</v>
      </c>
      <c r="C88" s="20">
        <v>5.0659999999999997E-2</v>
      </c>
      <c r="D88" s="12">
        <v>663.6</v>
      </c>
      <c r="E88" s="18">
        <v>205.28800000000001</v>
      </c>
      <c r="F88" s="16"/>
      <c r="G88" s="19">
        <v>0.74860000000000004</v>
      </c>
    </row>
    <row r="89" spans="1:7" x14ac:dyDescent="0.25">
      <c r="A89" s="11">
        <v>39173</v>
      </c>
      <c r="B89" s="15">
        <v>1482.4</v>
      </c>
      <c r="C89" s="20">
        <v>4.7489999999999997E-2</v>
      </c>
      <c r="D89" s="12">
        <v>678.25</v>
      </c>
      <c r="E89" s="18">
        <v>205.904</v>
      </c>
      <c r="F89" s="16"/>
      <c r="G89" s="19">
        <v>0.7329</v>
      </c>
    </row>
    <row r="90" spans="1:7" x14ac:dyDescent="0.25">
      <c r="A90" s="11">
        <v>39203</v>
      </c>
      <c r="B90" s="15">
        <v>1530.6</v>
      </c>
      <c r="C90" s="20">
        <v>4.7569999999999994E-2</v>
      </c>
      <c r="D90" s="12">
        <v>660.95</v>
      </c>
      <c r="E90" s="18">
        <v>206.755</v>
      </c>
      <c r="F90" s="16"/>
      <c r="G90" s="19">
        <v>0.74329999999999996</v>
      </c>
    </row>
    <row r="91" spans="1:7" x14ac:dyDescent="0.25">
      <c r="A91" s="11">
        <v>39234</v>
      </c>
      <c r="B91" s="15">
        <v>1503.3</v>
      </c>
      <c r="C91" s="20">
        <v>4.2649999999999993E-2</v>
      </c>
      <c r="D91" s="12">
        <v>649.65</v>
      </c>
      <c r="E91" s="18">
        <v>207.23400000000001</v>
      </c>
      <c r="F91" s="16"/>
      <c r="G91" s="19">
        <v>0.73850000000000005</v>
      </c>
    </row>
    <row r="92" spans="1:7" x14ac:dyDescent="0.25">
      <c r="A92" s="11">
        <v>39264</v>
      </c>
      <c r="B92" s="15">
        <v>1455.3</v>
      </c>
      <c r="C92" s="20">
        <v>5.1089999999999997E-2</v>
      </c>
      <c r="D92" s="12">
        <v>663.5</v>
      </c>
      <c r="E92" s="18">
        <v>207.60300000000001</v>
      </c>
      <c r="F92" s="16"/>
      <c r="G92" s="19">
        <v>0.73129999999999995</v>
      </c>
    </row>
    <row r="93" spans="1:7" x14ac:dyDescent="0.25">
      <c r="A93" s="11">
        <v>39295</v>
      </c>
      <c r="B93" s="15">
        <v>1474</v>
      </c>
      <c r="C93" s="20">
        <v>4.2000000000000003E-2</v>
      </c>
      <c r="D93" s="12">
        <v>673</v>
      </c>
      <c r="E93" s="18">
        <v>207.667</v>
      </c>
      <c r="F93" s="16"/>
      <c r="G93" s="19">
        <v>0.73370000000000002</v>
      </c>
    </row>
    <row r="94" spans="1:7" x14ac:dyDescent="0.25">
      <c r="A94" s="11">
        <v>39326</v>
      </c>
      <c r="B94" s="15">
        <v>1526.8</v>
      </c>
      <c r="C94" s="20">
        <v>3.2910000000000002E-2</v>
      </c>
      <c r="D94" s="12">
        <v>744.1</v>
      </c>
      <c r="E94" s="18">
        <v>208.547</v>
      </c>
      <c r="F94" s="16"/>
      <c r="G94" s="19">
        <v>0.7006</v>
      </c>
    </row>
    <row r="95" spans="1:7" x14ac:dyDescent="0.25">
      <c r="A95" s="11">
        <v>39356</v>
      </c>
      <c r="B95" s="15">
        <v>1549.4</v>
      </c>
      <c r="C95" s="20">
        <v>3.9919999999999997E-2</v>
      </c>
      <c r="D95" s="12">
        <v>796.2</v>
      </c>
      <c r="E95" s="18">
        <v>209.19</v>
      </c>
      <c r="F95" s="16"/>
      <c r="G95" s="19">
        <v>0.6905</v>
      </c>
    </row>
    <row r="96" spans="1:7" x14ac:dyDescent="0.25">
      <c r="A96" s="11">
        <v>39387</v>
      </c>
      <c r="B96" s="15">
        <v>1481.1</v>
      </c>
      <c r="C96" s="20">
        <v>3.6379999999999996E-2</v>
      </c>
      <c r="D96" s="12">
        <v>782.9</v>
      </c>
      <c r="E96" s="18">
        <v>210.834</v>
      </c>
      <c r="F96" s="16"/>
      <c r="G96" s="19">
        <v>0.68340000000000001</v>
      </c>
    </row>
    <row r="97" spans="1:7" x14ac:dyDescent="0.25">
      <c r="A97" s="11">
        <v>39417</v>
      </c>
      <c r="B97" s="15">
        <v>1468.4</v>
      </c>
      <c r="C97" s="20">
        <v>2.6269999999999998E-2</v>
      </c>
      <c r="D97" s="12">
        <v>833.6</v>
      </c>
      <c r="E97" s="18">
        <v>211.44499999999999</v>
      </c>
      <c r="F97" s="16"/>
      <c r="G97" s="19">
        <v>0.68540000000000001</v>
      </c>
    </row>
    <row r="98" spans="1:7" x14ac:dyDescent="0.25">
      <c r="A98" s="11">
        <v>39448</v>
      </c>
      <c r="B98" s="15">
        <v>1378.5</v>
      </c>
      <c r="C98" s="20">
        <v>1.455E-2</v>
      </c>
      <c r="D98" s="12">
        <v>925.62</v>
      </c>
      <c r="E98" s="18">
        <v>212.17400000000001</v>
      </c>
      <c r="F98" s="16"/>
      <c r="G98" s="19">
        <v>0.67279999999999995</v>
      </c>
    </row>
    <row r="99" spans="1:7" x14ac:dyDescent="0.25">
      <c r="A99" s="11">
        <v>39479</v>
      </c>
      <c r="B99" s="15">
        <v>1330.6</v>
      </c>
      <c r="C99" s="20">
        <v>1.9439999999999999E-2</v>
      </c>
      <c r="D99" s="12">
        <v>972.48</v>
      </c>
      <c r="E99" s="18">
        <v>212.68700000000001</v>
      </c>
      <c r="F99" s="16"/>
      <c r="G99" s="19">
        <v>0.65869999999999995</v>
      </c>
    </row>
    <row r="100" spans="1:7" x14ac:dyDescent="0.25">
      <c r="A100" s="11">
        <v>39508</v>
      </c>
      <c r="B100" s="15">
        <v>1322.7</v>
      </c>
      <c r="C100" s="20">
        <v>1.1699999999999999E-2</v>
      </c>
      <c r="D100" s="12">
        <v>915.7</v>
      </c>
      <c r="E100" s="18">
        <v>213.44800000000001</v>
      </c>
      <c r="F100" s="16"/>
      <c r="G100" s="19">
        <v>0.6341</v>
      </c>
    </row>
    <row r="101" spans="1:7" x14ac:dyDescent="0.25">
      <c r="A101" s="11">
        <v>39539</v>
      </c>
      <c r="B101" s="15">
        <v>1385.6</v>
      </c>
      <c r="C101" s="20">
        <v>1.206E-2</v>
      </c>
      <c r="D101" s="12">
        <v>870.95</v>
      </c>
      <c r="E101" s="18">
        <v>213.94200000000001</v>
      </c>
      <c r="F101" s="16"/>
      <c r="G101" s="19">
        <v>0.6401</v>
      </c>
    </row>
    <row r="102" spans="1:7" x14ac:dyDescent="0.25">
      <c r="A102" s="11">
        <v>39569</v>
      </c>
      <c r="B102" s="15">
        <v>1400.4</v>
      </c>
      <c r="C102" s="20">
        <v>2.0110000000000003E-2</v>
      </c>
      <c r="D102" s="12">
        <v>886.9</v>
      </c>
      <c r="E102" s="18">
        <v>215.208</v>
      </c>
      <c r="F102" s="16"/>
      <c r="G102" s="19">
        <v>0.64300000000000002</v>
      </c>
    </row>
    <row r="103" spans="1:7" x14ac:dyDescent="0.25">
      <c r="A103" s="11">
        <v>39600</v>
      </c>
      <c r="B103" s="15">
        <v>1280</v>
      </c>
      <c r="C103" s="20">
        <v>1.5569999999999999E-2</v>
      </c>
      <c r="D103" s="12">
        <v>925.1</v>
      </c>
      <c r="E103" s="18">
        <v>217.46299999999999</v>
      </c>
      <c r="F103" s="16"/>
      <c r="G103" s="19">
        <v>0.63470000000000004</v>
      </c>
    </row>
    <row r="104" spans="1:7" x14ac:dyDescent="0.25">
      <c r="A104" s="11">
        <v>39630</v>
      </c>
      <c r="B104" s="15">
        <v>1267.4000000000001</v>
      </c>
      <c r="C104" s="20">
        <v>1.506E-2</v>
      </c>
      <c r="D104" s="12">
        <v>913.85</v>
      </c>
      <c r="E104" s="18">
        <v>219.01599999999999</v>
      </c>
      <c r="F104" s="16"/>
      <c r="G104" s="19">
        <v>0.64100000000000001</v>
      </c>
    </row>
    <row r="105" spans="1:7" x14ac:dyDescent="0.25">
      <c r="A105" s="11">
        <v>39661</v>
      </c>
      <c r="B105" s="15">
        <v>1282.8</v>
      </c>
      <c r="C105" s="20">
        <v>1.6390000000000002E-2</v>
      </c>
      <c r="D105" s="12">
        <v>830.8</v>
      </c>
      <c r="E105" s="18">
        <v>218.69</v>
      </c>
      <c r="F105" s="16"/>
      <c r="G105" s="19">
        <v>0.68149999999999999</v>
      </c>
    </row>
    <row r="106" spans="1:7" x14ac:dyDescent="0.25">
      <c r="A106" s="11">
        <v>39692</v>
      </c>
      <c r="B106" s="15">
        <v>1166.4000000000001</v>
      </c>
      <c r="C106" s="20">
        <v>5.5300000000000002E-3</v>
      </c>
      <c r="D106" s="12">
        <v>871.95</v>
      </c>
      <c r="E106" s="18">
        <v>218.87700000000001</v>
      </c>
      <c r="F106" s="16"/>
      <c r="G106" s="19">
        <v>0.70799999999999996</v>
      </c>
    </row>
    <row r="107" spans="1:7" x14ac:dyDescent="0.25">
      <c r="A107" s="11">
        <v>39722</v>
      </c>
      <c r="B107" s="15">
        <v>968.8</v>
      </c>
      <c r="C107" s="20">
        <v>1.17E-3</v>
      </c>
      <c r="D107" s="12">
        <v>725.05</v>
      </c>
      <c r="E107" s="18">
        <v>216.995</v>
      </c>
      <c r="F107" s="16"/>
      <c r="G107" s="19">
        <v>0.7853</v>
      </c>
    </row>
    <row r="108" spans="1:7" x14ac:dyDescent="0.25">
      <c r="A108" s="11">
        <v>39753</v>
      </c>
      <c r="B108" s="15">
        <v>896.2</v>
      </c>
      <c r="C108" s="20">
        <v>3.5999999999999997E-4</v>
      </c>
      <c r="D108" s="12">
        <v>817.5</v>
      </c>
      <c r="E108" s="18">
        <v>213.15299999999999</v>
      </c>
      <c r="F108" s="16"/>
      <c r="G108" s="19">
        <v>0.78739999999999999</v>
      </c>
    </row>
    <row r="109" spans="1:7" x14ac:dyDescent="0.25">
      <c r="A109" s="11">
        <v>39783</v>
      </c>
      <c r="B109" s="15">
        <v>903.2</v>
      </c>
      <c r="C109" s="20">
        <v>3.5999999999999997E-4</v>
      </c>
      <c r="D109" s="12">
        <v>880.2</v>
      </c>
      <c r="E109" s="18">
        <v>211.398</v>
      </c>
      <c r="F109" s="16"/>
      <c r="G109" s="19">
        <v>0.71519999999999995</v>
      </c>
    </row>
    <row r="110" spans="1:7" x14ac:dyDescent="0.25">
      <c r="A110" s="11">
        <v>39814</v>
      </c>
      <c r="B110" s="15">
        <v>825.9</v>
      </c>
      <c r="C110" s="20">
        <v>1.5199999999999999E-3</v>
      </c>
      <c r="D110" s="12">
        <v>927.75</v>
      </c>
      <c r="E110" s="18">
        <v>211.93299999999999</v>
      </c>
      <c r="F110" s="16"/>
      <c r="G110" s="19">
        <v>0.78269999999999995</v>
      </c>
    </row>
    <row r="111" spans="1:7" x14ac:dyDescent="0.25">
      <c r="A111" s="11">
        <v>39845</v>
      </c>
      <c r="B111" s="15">
        <v>735.1</v>
      </c>
      <c r="C111" s="20">
        <v>1.6200000000000001E-3</v>
      </c>
      <c r="D111" s="12">
        <v>945.15</v>
      </c>
      <c r="E111" s="18">
        <v>212.70500000000001</v>
      </c>
      <c r="F111" s="16"/>
      <c r="G111" s="19">
        <v>0.78920000000000001</v>
      </c>
    </row>
    <row r="112" spans="1:7" x14ac:dyDescent="0.25">
      <c r="A112" s="11">
        <v>39873</v>
      </c>
      <c r="B112" s="15">
        <v>797.9</v>
      </c>
      <c r="C112" s="20">
        <v>1.5199999999999999E-3</v>
      </c>
      <c r="D112" s="12">
        <v>918.15</v>
      </c>
      <c r="E112" s="18">
        <v>212.495</v>
      </c>
      <c r="F112" s="16"/>
      <c r="G112" s="19">
        <v>0.75460000000000005</v>
      </c>
    </row>
    <row r="113" spans="1:7" x14ac:dyDescent="0.25">
      <c r="A113" s="11">
        <v>39904</v>
      </c>
      <c r="B113" s="15">
        <v>872.8</v>
      </c>
      <c r="C113" s="20">
        <v>3.7999999999999997E-4</v>
      </c>
      <c r="D113" s="12">
        <v>886.5</v>
      </c>
      <c r="E113" s="18">
        <v>212.709</v>
      </c>
      <c r="F113" s="16"/>
      <c r="G113" s="19">
        <v>0.75600000000000001</v>
      </c>
    </row>
    <row r="114" spans="1:7" x14ac:dyDescent="0.25">
      <c r="A114" s="11">
        <v>39934</v>
      </c>
      <c r="B114" s="15">
        <v>919.1</v>
      </c>
      <c r="C114" s="20">
        <v>1.4199999999999998E-3</v>
      </c>
      <c r="D114" s="12">
        <v>980</v>
      </c>
      <c r="E114" s="18">
        <v>213.02199999999999</v>
      </c>
      <c r="F114" s="16"/>
      <c r="G114" s="19">
        <v>0.70660000000000001</v>
      </c>
    </row>
    <row r="115" spans="1:7" x14ac:dyDescent="0.25">
      <c r="A115" s="11">
        <v>39965</v>
      </c>
      <c r="B115" s="15">
        <v>919.3</v>
      </c>
      <c r="C115" s="20">
        <v>1.2199999999999999E-3</v>
      </c>
      <c r="D115" s="12">
        <v>926.85</v>
      </c>
      <c r="E115" s="18">
        <v>214.79</v>
      </c>
      <c r="F115" s="16"/>
      <c r="G115" s="19">
        <v>0.71260000000000001</v>
      </c>
    </row>
    <row r="116" spans="1:7" x14ac:dyDescent="0.25">
      <c r="A116" s="11">
        <v>39995</v>
      </c>
      <c r="B116" s="15">
        <v>987.5</v>
      </c>
      <c r="C116" s="20">
        <v>1.32E-3</v>
      </c>
      <c r="D116" s="12">
        <v>954.75</v>
      </c>
      <c r="E116" s="18">
        <v>214.726</v>
      </c>
      <c r="F116" s="16"/>
      <c r="G116" s="19">
        <v>0.70169999999999999</v>
      </c>
    </row>
    <row r="117" spans="1:7" x14ac:dyDescent="0.25">
      <c r="A117" s="11">
        <v>40026</v>
      </c>
      <c r="B117" s="15">
        <v>1020.6</v>
      </c>
      <c r="C117" s="20">
        <v>1.1200000000000001E-3</v>
      </c>
      <c r="D117" s="12">
        <v>951.15</v>
      </c>
      <c r="E117" s="18">
        <v>215.44499999999999</v>
      </c>
      <c r="F117" s="16"/>
      <c r="G117" s="19">
        <v>0.69779999999999998</v>
      </c>
    </row>
    <row r="118" spans="1:7" x14ac:dyDescent="0.25">
      <c r="A118" s="11">
        <v>40057</v>
      </c>
      <c r="B118" s="15">
        <v>1057.0999999999999</v>
      </c>
      <c r="C118" s="20">
        <v>8.5999999999999998E-4</v>
      </c>
      <c r="D118" s="12">
        <v>1007.7</v>
      </c>
      <c r="E118" s="18">
        <v>215.86099999999999</v>
      </c>
      <c r="F118" s="16"/>
      <c r="G118" s="19">
        <v>0.68320000000000003</v>
      </c>
    </row>
    <row r="119" spans="1:7" x14ac:dyDescent="0.25">
      <c r="A119" s="11">
        <v>40087</v>
      </c>
      <c r="B119" s="15">
        <v>1036.2</v>
      </c>
      <c r="C119" s="20">
        <v>1.4999999999999999E-4</v>
      </c>
      <c r="D119" s="12">
        <v>1044.9000000000001</v>
      </c>
      <c r="E119" s="18">
        <v>216.50899999999999</v>
      </c>
      <c r="F119" s="16"/>
      <c r="G119" s="19">
        <v>0.6794</v>
      </c>
    </row>
    <row r="120" spans="1:7" x14ac:dyDescent="0.25">
      <c r="A120" s="11">
        <v>40118</v>
      </c>
      <c r="B120" s="15">
        <v>1095.5999999999999</v>
      </c>
      <c r="C120" s="20">
        <v>7.2999999999999996E-4</v>
      </c>
      <c r="D120" s="12">
        <v>1178.8499999999999</v>
      </c>
      <c r="E120" s="18">
        <v>217.23400000000001</v>
      </c>
      <c r="F120" s="16"/>
      <c r="G120" s="19">
        <v>0.6663</v>
      </c>
    </row>
    <row r="121" spans="1:7" x14ac:dyDescent="0.25">
      <c r="A121" s="11">
        <v>40148</v>
      </c>
      <c r="B121" s="15">
        <v>1115.0999999999999</v>
      </c>
      <c r="C121" s="20">
        <v>3.7999999999999997E-4</v>
      </c>
      <c r="D121" s="12">
        <v>1096.2</v>
      </c>
      <c r="E121" s="18">
        <v>217.34700000000001</v>
      </c>
      <c r="F121" s="16"/>
      <c r="G121" s="19">
        <v>0.69850000000000001</v>
      </c>
    </row>
    <row r="122" spans="1:7" x14ac:dyDescent="0.25">
      <c r="A122" s="11">
        <v>40179</v>
      </c>
      <c r="B122" s="15">
        <v>1073.9000000000001</v>
      </c>
      <c r="C122" s="20">
        <v>5.0000000000000002E-5</v>
      </c>
      <c r="D122" s="12">
        <v>1081.55</v>
      </c>
      <c r="E122" s="18">
        <v>217.488</v>
      </c>
      <c r="F122" s="16"/>
      <c r="G122" s="19">
        <v>0.72109999999999996</v>
      </c>
    </row>
    <row r="123" spans="1:7" x14ac:dyDescent="0.25">
      <c r="A123" s="11">
        <v>40210</v>
      </c>
      <c r="B123" s="15">
        <v>1104.5</v>
      </c>
      <c r="C123" s="20">
        <v>8.5999999999999998E-4</v>
      </c>
      <c r="D123" s="12">
        <v>1116.5</v>
      </c>
      <c r="E123" s="18">
        <v>217.28100000000001</v>
      </c>
      <c r="F123" s="16"/>
      <c r="G123" s="19">
        <v>0.7339</v>
      </c>
    </row>
    <row r="124" spans="1:7" x14ac:dyDescent="0.25">
      <c r="A124" s="11">
        <v>40238</v>
      </c>
      <c r="B124" s="15">
        <v>1169.4000000000001</v>
      </c>
      <c r="C124" s="20">
        <v>1.5199999999999999E-3</v>
      </c>
      <c r="D124" s="12">
        <v>1113.8</v>
      </c>
      <c r="E124" s="18">
        <v>217.35300000000001</v>
      </c>
      <c r="F124" s="16"/>
      <c r="G124" s="19">
        <v>0.74009999999999998</v>
      </c>
    </row>
    <row r="125" spans="1:7" x14ac:dyDescent="0.25">
      <c r="A125" s="11">
        <v>40269</v>
      </c>
      <c r="B125" s="15">
        <v>1186.7</v>
      </c>
      <c r="C125" s="20">
        <v>1.3700000000000001E-3</v>
      </c>
      <c r="D125" s="12">
        <v>1179.25</v>
      </c>
      <c r="E125" s="18">
        <v>217.40299999999999</v>
      </c>
      <c r="F125" s="16"/>
      <c r="G125" s="19">
        <v>0.752</v>
      </c>
    </row>
    <row r="126" spans="1:7" x14ac:dyDescent="0.25">
      <c r="A126" s="11">
        <v>40299</v>
      </c>
      <c r="B126" s="15">
        <v>1089.4000000000001</v>
      </c>
      <c r="C126" s="20">
        <v>1.47E-3</v>
      </c>
      <c r="D126" s="12">
        <v>1216.21</v>
      </c>
      <c r="E126" s="18">
        <v>217.29</v>
      </c>
      <c r="F126" s="16"/>
      <c r="G126" s="19">
        <v>0.81269999999999998</v>
      </c>
    </row>
    <row r="127" spans="1:7" x14ac:dyDescent="0.25">
      <c r="A127" s="11">
        <v>40330</v>
      </c>
      <c r="B127" s="15">
        <v>1030.7</v>
      </c>
      <c r="C127" s="20">
        <v>1.6200000000000001E-3</v>
      </c>
      <c r="D127" s="12">
        <v>1242.3499999999999</v>
      </c>
      <c r="E127" s="18">
        <v>217.19900000000001</v>
      </c>
      <c r="F127" s="16"/>
      <c r="G127" s="19">
        <v>0.81730000000000003</v>
      </c>
    </row>
    <row r="128" spans="1:7" x14ac:dyDescent="0.25">
      <c r="A128" s="11">
        <v>40360</v>
      </c>
      <c r="B128" s="15">
        <v>1101.5999999999999</v>
      </c>
      <c r="C128" s="20">
        <v>1.4199999999999998E-3</v>
      </c>
      <c r="D128" s="12">
        <v>1180.9000000000001</v>
      </c>
      <c r="E128" s="18">
        <v>217.60499999999999</v>
      </c>
      <c r="F128" s="16"/>
      <c r="G128" s="19">
        <v>0.76619999999999999</v>
      </c>
    </row>
    <row r="129" spans="1:7" x14ac:dyDescent="0.25">
      <c r="A129" s="11">
        <v>40391</v>
      </c>
      <c r="B129" s="15">
        <v>1049.3</v>
      </c>
      <c r="C129" s="20">
        <v>1.57E-3</v>
      </c>
      <c r="D129" s="12">
        <v>1247.6500000000001</v>
      </c>
      <c r="E129" s="18">
        <v>217.923</v>
      </c>
      <c r="F129" s="12">
        <v>0.1</v>
      </c>
      <c r="G129" s="19">
        <v>0.78790000000000004</v>
      </c>
    </row>
    <row r="130" spans="1:7" x14ac:dyDescent="0.25">
      <c r="A130" s="11">
        <v>40422</v>
      </c>
      <c r="B130" s="15">
        <v>1141.2</v>
      </c>
      <c r="C130" s="20">
        <v>1.4199999999999998E-3</v>
      </c>
      <c r="D130" s="12">
        <v>1309.5</v>
      </c>
      <c r="E130" s="18">
        <v>218.27500000000001</v>
      </c>
      <c r="F130" s="12">
        <v>0.1</v>
      </c>
      <c r="G130" s="19">
        <v>0.73340000000000005</v>
      </c>
    </row>
    <row r="131" spans="1:7" x14ac:dyDescent="0.25">
      <c r="A131" s="11">
        <v>40452</v>
      </c>
      <c r="B131" s="15">
        <v>1183.3</v>
      </c>
      <c r="C131" s="20">
        <v>1.32E-3</v>
      </c>
      <c r="D131" s="12">
        <v>1359.55</v>
      </c>
      <c r="E131" s="18">
        <v>219.035</v>
      </c>
      <c r="F131" s="12">
        <v>0.2</v>
      </c>
      <c r="G131" s="19">
        <v>0.7167</v>
      </c>
    </row>
    <row r="132" spans="1:7" x14ac:dyDescent="0.25">
      <c r="A132" s="11">
        <v>40483</v>
      </c>
      <c r="B132" s="15">
        <v>1180.5</v>
      </c>
      <c r="C132" s="20">
        <v>1.57E-3</v>
      </c>
      <c r="D132" s="12">
        <v>1384.85</v>
      </c>
      <c r="E132" s="18">
        <v>219.59</v>
      </c>
      <c r="F132" s="12">
        <v>0.2</v>
      </c>
      <c r="G132" s="19">
        <v>0.7702</v>
      </c>
    </row>
    <row r="133" spans="1:7" x14ac:dyDescent="0.25">
      <c r="A133" s="11">
        <v>40513</v>
      </c>
      <c r="B133" s="15">
        <v>1257.5999999999999</v>
      </c>
      <c r="C133" s="20">
        <v>6.3000000000000003E-4</v>
      </c>
      <c r="D133" s="12">
        <v>1421.45</v>
      </c>
      <c r="E133" s="18">
        <v>220.47200000000001</v>
      </c>
      <c r="F133" s="12">
        <v>0.3</v>
      </c>
      <c r="G133" s="19">
        <v>0.74729999999999996</v>
      </c>
    </row>
    <row r="134" spans="1:7" x14ac:dyDescent="0.25">
      <c r="A134" s="11">
        <v>40544</v>
      </c>
      <c r="B134" s="15">
        <v>1286.0999999999999</v>
      </c>
      <c r="C134" s="20">
        <v>1.4199999999999998E-3</v>
      </c>
      <c r="D134" s="12">
        <v>1332.19</v>
      </c>
      <c r="E134" s="18">
        <v>221.18700000000001</v>
      </c>
      <c r="F134" s="12">
        <v>0.5</v>
      </c>
      <c r="G134" s="19">
        <v>0.73040000000000005</v>
      </c>
    </row>
    <row r="135" spans="1:7" x14ac:dyDescent="0.25">
      <c r="A135" s="11">
        <v>40575</v>
      </c>
      <c r="B135" s="15">
        <v>1327.2</v>
      </c>
      <c r="C135" s="20">
        <v>1.2199999999999999E-3</v>
      </c>
      <c r="D135" s="12">
        <v>1411.65</v>
      </c>
      <c r="E135" s="18">
        <v>221.898</v>
      </c>
      <c r="F135" s="12">
        <v>0.9</v>
      </c>
      <c r="G135" s="19">
        <v>0.72450000000000003</v>
      </c>
    </row>
    <row r="136" spans="1:7" x14ac:dyDescent="0.25">
      <c r="A136" s="11">
        <v>40603</v>
      </c>
      <c r="B136" s="15">
        <v>1325.8</v>
      </c>
      <c r="C136" s="20">
        <v>6.0999999999999997E-4</v>
      </c>
      <c r="D136" s="12">
        <v>1432</v>
      </c>
      <c r="E136" s="18">
        <v>223.04599999999999</v>
      </c>
      <c r="F136" s="12">
        <v>0.8</v>
      </c>
      <c r="G136" s="19">
        <v>0.70569999999999999</v>
      </c>
    </row>
    <row r="137" spans="1:7" x14ac:dyDescent="0.25">
      <c r="A137" s="11">
        <v>40634</v>
      </c>
      <c r="B137" s="15">
        <v>1363.6</v>
      </c>
      <c r="C137" s="20">
        <v>1.7999999999999998E-4</v>
      </c>
      <c r="D137" s="12">
        <v>1565.6</v>
      </c>
      <c r="E137" s="18">
        <v>224.09299999999999</v>
      </c>
      <c r="F137" s="12">
        <v>3.5</v>
      </c>
      <c r="G137" s="19">
        <v>0.6754</v>
      </c>
    </row>
    <row r="138" spans="1:7" x14ac:dyDescent="0.25">
      <c r="A138" s="11">
        <v>40664</v>
      </c>
      <c r="B138" s="15">
        <v>1345.2</v>
      </c>
      <c r="C138" s="20">
        <v>3.5999999999999997E-4</v>
      </c>
      <c r="D138" s="12">
        <v>1535.35</v>
      </c>
      <c r="E138" s="18">
        <v>224.80600000000001</v>
      </c>
      <c r="F138" s="12">
        <v>8.6999999999999993</v>
      </c>
      <c r="G138" s="19">
        <v>0.6946</v>
      </c>
    </row>
    <row r="139" spans="1:7" x14ac:dyDescent="0.25">
      <c r="A139" s="11">
        <v>40695</v>
      </c>
      <c r="B139" s="15">
        <v>1320.6</v>
      </c>
      <c r="C139" s="20">
        <v>8.0000000000000007E-5</v>
      </c>
      <c r="D139" s="12">
        <v>1500.1</v>
      </c>
      <c r="E139" s="18">
        <v>224.80600000000001</v>
      </c>
      <c r="F139" s="12">
        <v>16.100000000000001</v>
      </c>
      <c r="G139" s="19">
        <v>0.68930000000000002</v>
      </c>
    </row>
    <row r="140" spans="1:7" x14ac:dyDescent="0.25">
      <c r="A140" s="11">
        <v>40725</v>
      </c>
      <c r="B140" s="15">
        <v>1292.3</v>
      </c>
      <c r="C140" s="20">
        <v>1.72E-3</v>
      </c>
      <c r="D140" s="12">
        <v>1626.64</v>
      </c>
      <c r="E140" s="18">
        <v>225.39500000000001</v>
      </c>
      <c r="F140" s="12">
        <v>13.4</v>
      </c>
      <c r="G140" s="19">
        <v>0.6946</v>
      </c>
    </row>
    <row r="141" spans="1:7" x14ac:dyDescent="0.25">
      <c r="A141" s="11">
        <v>40756</v>
      </c>
      <c r="B141" s="15">
        <v>1218.9000000000001</v>
      </c>
      <c r="C141" s="20">
        <v>1E-4</v>
      </c>
      <c r="D141" s="12">
        <v>1823.8</v>
      </c>
      <c r="E141" s="18">
        <v>226.10599999999999</v>
      </c>
      <c r="F141" s="12">
        <v>8.1999999999999993</v>
      </c>
      <c r="G141" s="19">
        <v>0.69540000000000002</v>
      </c>
    </row>
    <row r="142" spans="1:7" x14ac:dyDescent="0.25">
      <c r="A142" s="11">
        <v>40787</v>
      </c>
      <c r="B142" s="15">
        <v>1131.4000000000001</v>
      </c>
      <c r="C142" s="20">
        <v>8.0000000000000007E-5</v>
      </c>
      <c r="D142" s="12">
        <v>1623.75</v>
      </c>
      <c r="E142" s="18">
        <v>226.59700000000001</v>
      </c>
      <c r="F142" s="12">
        <v>5.0999999999999996</v>
      </c>
      <c r="G142" s="19">
        <v>0.74690000000000001</v>
      </c>
    </row>
    <row r="143" spans="1:7" x14ac:dyDescent="0.25">
      <c r="A143" s="11">
        <v>40817</v>
      </c>
      <c r="B143" s="15">
        <v>1253.3</v>
      </c>
      <c r="C143" s="20">
        <v>1E-4</v>
      </c>
      <c r="D143" s="12">
        <v>1715.25</v>
      </c>
      <c r="E143" s="18">
        <v>226.75</v>
      </c>
      <c r="F143" s="12">
        <v>3.3</v>
      </c>
      <c r="G143" s="19">
        <v>0.72150000000000003</v>
      </c>
    </row>
    <row r="144" spans="1:7" x14ac:dyDescent="0.25">
      <c r="A144" s="11">
        <v>40848</v>
      </c>
      <c r="B144" s="15">
        <v>1247</v>
      </c>
      <c r="C144" s="20">
        <v>2.0000000000000001E-4</v>
      </c>
      <c r="D144" s="12">
        <v>1745.7</v>
      </c>
      <c r="E144" s="18">
        <v>227.16900000000001</v>
      </c>
      <c r="F144" s="12">
        <v>3</v>
      </c>
      <c r="G144" s="19">
        <v>0.74390000000000001</v>
      </c>
    </row>
    <row r="145" spans="1:7" x14ac:dyDescent="0.25">
      <c r="A145" s="11">
        <v>40878</v>
      </c>
      <c r="B145" s="15">
        <v>1257.5999999999999</v>
      </c>
      <c r="C145" s="20">
        <v>5.0000000000000002E-5</v>
      </c>
      <c r="D145" s="12">
        <v>1564.3</v>
      </c>
      <c r="E145" s="18">
        <v>227.22300000000001</v>
      </c>
      <c r="F145" s="12">
        <v>4.7</v>
      </c>
      <c r="G145" s="19">
        <v>0.77270000000000005</v>
      </c>
    </row>
    <row r="146" spans="1:7" x14ac:dyDescent="0.25">
      <c r="A146" s="11">
        <v>40909</v>
      </c>
      <c r="B146" s="15">
        <v>1312.4</v>
      </c>
      <c r="C146" s="20">
        <v>4.2999999999999999E-4</v>
      </c>
      <c r="D146" s="12">
        <v>1739.43</v>
      </c>
      <c r="E146" s="18">
        <v>227.84200000000001</v>
      </c>
      <c r="F146" s="12">
        <v>5.5</v>
      </c>
      <c r="G146" s="19">
        <v>0.76459999999999995</v>
      </c>
    </row>
    <row r="147" spans="1:7" x14ac:dyDescent="0.25">
      <c r="A147" s="11">
        <v>40940</v>
      </c>
      <c r="B147" s="15">
        <v>1365.7</v>
      </c>
      <c r="C147" s="20">
        <v>8.1000000000000006E-4</v>
      </c>
      <c r="D147" s="12">
        <v>1695.2</v>
      </c>
      <c r="E147" s="18">
        <v>228.32900000000001</v>
      </c>
      <c r="F147" s="12">
        <v>4.9000000000000004</v>
      </c>
      <c r="G147" s="19">
        <v>0.75019999999999998</v>
      </c>
    </row>
    <row r="148" spans="1:7" x14ac:dyDescent="0.25">
      <c r="A148" s="11">
        <v>40969</v>
      </c>
      <c r="B148" s="15">
        <v>1408.5</v>
      </c>
      <c r="C148" s="20">
        <v>3.7999999999999997E-4</v>
      </c>
      <c r="D148" s="12">
        <v>1668.9</v>
      </c>
      <c r="E148" s="18">
        <v>228.80699999999999</v>
      </c>
      <c r="F148" s="12">
        <v>4.9000000000000004</v>
      </c>
      <c r="G148" s="19">
        <v>0.74929999999999997</v>
      </c>
    </row>
    <row r="149" spans="1:7" x14ac:dyDescent="0.25">
      <c r="A149" s="11">
        <v>41000</v>
      </c>
      <c r="B149" s="15">
        <v>1397.9</v>
      </c>
      <c r="C149" s="20">
        <v>6.6E-4</v>
      </c>
      <c r="D149" s="12">
        <v>1664.36</v>
      </c>
      <c r="E149" s="18">
        <v>229.18700000000001</v>
      </c>
      <c r="F149" s="12">
        <v>4.9000000000000004</v>
      </c>
      <c r="G149" s="19">
        <v>0.75509999999999999</v>
      </c>
    </row>
    <row r="150" spans="1:7" x14ac:dyDescent="0.25">
      <c r="A150" s="11">
        <v>41030</v>
      </c>
      <c r="B150" s="15">
        <v>1310.3</v>
      </c>
      <c r="C150" s="20">
        <v>3.1E-4</v>
      </c>
      <c r="D150" s="12">
        <v>1560.7</v>
      </c>
      <c r="E150" s="18">
        <v>228.71299999999999</v>
      </c>
      <c r="F150" s="12">
        <v>5.2</v>
      </c>
      <c r="G150" s="19">
        <v>0.80910000000000004</v>
      </c>
    </row>
    <row r="151" spans="1:7" x14ac:dyDescent="0.25">
      <c r="A151" s="11">
        <v>41061</v>
      </c>
      <c r="B151" s="15">
        <v>1362.2</v>
      </c>
      <c r="C151" s="20">
        <v>4.2999999999999999E-4</v>
      </c>
      <c r="D151" s="12">
        <v>1598.6</v>
      </c>
      <c r="E151" s="18">
        <v>228.524</v>
      </c>
      <c r="F151" s="12">
        <v>6.7</v>
      </c>
      <c r="G151" s="19">
        <v>0.78979999999999995</v>
      </c>
    </row>
    <row r="152" spans="1:7" x14ac:dyDescent="0.25">
      <c r="A152" s="11">
        <v>41091</v>
      </c>
      <c r="B152" s="15">
        <v>1379.3</v>
      </c>
      <c r="C152" s="20">
        <v>5.0999999999999993E-4</v>
      </c>
      <c r="D152" s="12">
        <v>1613.9</v>
      </c>
      <c r="E152" s="18">
        <v>228.59</v>
      </c>
      <c r="F152" s="12">
        <v>9.4</v>
      </c>
      <c r="G152" s="19">
        <v>0.81269999999999998</v>
      </c>
    </row>
    <row r="153" spans="1:7" x14ac:dyDescent="0.25">
      <c r="A153" s="11">
        <v>41122</v>
      </c>
      <c r="B153" s="15">
        <v>1406.6</v>
      </c>
      <c r="C153" s="20">
        <v>8.5999999999999998E-4</v>
      </c>
      <c r="D153" s="12">
        <v>1691.15</v>
      </c>
      <c r="E153" s="18">
        <v>229.91800000000001</v>
      </c>
      <c r="F153" s="12">
        <v>10.199999999999999</v>
      </c>
      <c r="G153" s="19">
        <v>0.79479999999999995</v>
      </c>
    </row>
    <row r="154" spans="1:7" x14ac:dyDescent="0.25">
      <c r="A154" s="11">
        <v>41153</v>
      </c>
      <c r="B154" s="15">
        <v>1440.7</v>
      </c>
      <c r="C154" s="20">
        <v>5.8E-4</v>
      </c>
      <c r="D154" s="12">
        <v>1771.22</v>
      </c>
      <c r="E154" s="18">
        <v>231.01499999999999</v>
      </c>
      <c r="F154" s="12">
        <v>12.4</v>
      </c>
      <c r="G154" s="19">
        <v>0.77769999999999995</v>
      </c>
    </row>
    <row r="155" spans="1:7" x14ac:dyDescent="0.25">
      <c r="A155" s="11">
        <v>41183</v>
      </c>
      <c r="B155" s="15">
        <v>1412.2</v>
      </c>
      <c r="C155" s="20">
        <v>9.1E-4</v>
      </c>
      <c r="D155" s="12">
        <v>1720.55</v>
      </c>
      <c r="E155" s="18">
        <v>231.63800000000001</v>
      </c>
      <c r="F155" s="12">
        <v>11.2</v>
      </c>
      <c r="G155" s="19">
        <v>0.77159999999999995</v>
      </c>
    </row>
    <row r="156" spans="1:7" x14ac:dyDescent="0.25">
      <c r="A156" s="11">
        <v>41214</v>
      </c>
      <c r="B156" s="15">
        <v>1416.2</v>
      </c>
      <c r="C156" s="20">
        <v>1.1200000000000001E-3</v>
      </c>
      <c r="D156" s="12">
        <v>1714.4</v>
      </c>
      <c r="E156" s="18">
        <v>231.249</v>
      </c>
      <c r="F156" s="12">
        <v>12.6</v>
      </c>
      <c r="G156" s="19">
        <v>0.76880000000000004</v>
      </c>
    </row>
    <row r="157" spans="1:7" x14ac:dyDescent="0.25">
      <c r="A157" s="11">
        <v>41244</v>
      </c>
      <c r="B157" s="15">
        <v>1426.2</v>
      </c>
      <c r="C157" s="20">
        <v>2.0000000000000001E-4</v>
      </c>
      <c r="D157" s="12">
        <v>1674.34</v>
      </c>
      <c r="E157" s="18">
        <v>231.221</v>
      </c>
      <c r="F157" s="12">
        <v>13.5</v>
      </c>
      <c r="G157" s="19">
        <v>0.75770000000000004</v>
      </c>
    </row>
    <row r="158" spans="1:7" x14ac:dyDescent="0.25">
      <c r="A158" s="11">
        <v>41275</v>
      </c>
      <c r="B158" s="15">
        <v>1498.1</v>
      </c>
      <c r="C158" s="20">
        <v>3.7999999999999997E-4</v>
      </c>
      <c r="D158" s="12">
        <v>1662.99</v>
      </c>
      <c r="E158" s="18">
        <v>231.679</v>
      </c>
      <c r="F158" s="12">
        <v>20.399999999999999</v>
      </c>
      <c r="G158" s="19">
        <v>0.73629999999999995</v>
      </c>
    </row>
    <row r="159" spans="1:7" x14ac:dyDescent="0.25">
      <c r="A159" s="11">
        <v>41306</v>
      </c>
      <c r="B159" s="15">
        <v>1514.7</v>
      </c>
      <c r="C159" s="20">
        <v>6.8000000000000005E-4</v>
      </c>
      <c r="D159" s="12">
        <v>1579.76</v>
      </c>
      <c r="E159" s="18">
        <v>232.93700000000001</v>
      </c>
      <c r="F159" s="12">
        <v>33.4</v>
      </c>
      <c r="G159" s="19">
        <v>0.76529999999999998</v>
      </c>
    </row>
    <row r="160" spans="1:7" x14ac:dyDescent="0.25">
      <c r="A160" s="11">
        <v>41334</v>
      </c>
      <c r="B160" s="15">
        <v>1569.2</v>
      </c>
      <c r="C160" s="20">
        <v>3.5999999999999997E-4</v>
      </c>
      <c r="D160" s="12">
        <v>1596.17</v>
      </c>
      <c r="E160" s="18">
        <v>232.28200000000001</v>
      </c>
      <c r="F160" s="12">
        <v>93</v>
      </c>
      <c r="G160" s="19">
        <v>0.77980000000000005</v>
      </c>
    </row>
    <row r="161" spans="1:7" x14ac:dyDescent="0.25">
      <c r="A161" s="11">
        <v>41365</v>
      </c>
      <c r="B161" s="15">
        <v>1597.6</v>
      </c>
      <c r="C161" s="20">
        <v>3.3E-4</v>
      </c>
      <c r="D161" s="12">
        <v>1476.6</v>
      </c>
      <c r="E161" s="18">
        <v>231.797</v>
      </c>
      <c r="F161" s="12">
        <v>139.19999999999999</v>
      </c>
      <c r="G161" s="19">
        <v>0.75939999999999996</v>
      </c>
    </row>
    <row r="162" spans="1:7" x14ac:dyDescent="0.25">
      <c r="A162" s="11">
        <v>41395</v>
      </c>
      <c r="B162" s="15">
        <v>1630.7</v>
      </c>
      <c r="C162" s="20">
        <v>2.0000000000000001E-4</v>
      </c>
      <c r="D162" s="12">
        <v>1386.4</v>
      </c>
      <c r="E162" s="18">
        <v>231.893</v>
      </c>
      <c r="F162" s="12">
        <v>128.80000000000001</v>
      </c>
      <c r="G162" s="19">
        <v>0.76910000000000001</v>
      </c>
    </row>
    <row r="163" spans="1:7" x14ac:dyDescent="0.25">
      <c r="A163" s="11">
        <v>41426</v>
      </c>
      <c r="B163" s="15">
        <v>1606.3</v>
      </c>
      <c r="C163" s="20">
        <v>1.2999999999999999E-4</v>
      </c>
      <c r="D163" s="12">
        <v>1233.1400000000001</v>
      </c>
      <c r="E163" s="18">
        <v>232.44499999999999</v>
      </c>
      <c r="F163" s="12">
        <v>97.5</v>
      </c>
      <c r="G163" s="19">
        <v>0.76849999999999996</v>
      </c>
    </row>
    <row r="164" spans="1:7" x14ac:dyDescent="0.25">
      <c r="A164" s="11">
        <v>41456</v>
      </c>
      <c r="B164" s="15">
        <v>1685.7</v>
      </c>
      <c r="C164" s="20">
        <v>2.5000000000000001E-4</v>
      </c>
      <c r="D164" s="12">
        <v>1322.49</v>
      </c>
      <c r="E164" s="18">
        <v>232.9</v>
      </c>
      <c r="F164" s="12">
        <v>106.2</v>
      </c>
      <c r="G164" s="19">
        <v>0.75160000000000005</v>
      </c>
    </row>
    <row r="165" spans="1:7" x14ac:dyDescent="0.25">
      <c r="A165" s="11">
        <v>41487</v>
      </c>
      <c r="B165" s="15">
        <v>1633</v>
      </c>
      <c r="C165" s="20">
        <v>2.0000000000000001E-4</v>
      </c>
      <c r="D165" s="12">
        <v>1395.69</v>
      </c>
      <c r="E165" s="18">
        <v>233.45599999999999</v>
      </c>
      <c r="F165" s="12">
        <v>141</v>
      </c>
      <c r="G165" s="19">
        <v>0.75619999999999998</v>
      </c>
    </row>
    <row r="166" spans="1:7" x14ac:dyDescent="0.25">
      <c r="A166" s="11">
        <v>41518</v>
      </c>
      <c r="B166" s="15">
        <v>1681.5</v>
      </c>
      <c r="C166" s="20">
        <v>2.5000000000000001E-4</v>
      </c>
      <c r="D166" s="12">
        <v>1326.94</v>
      </c>
      <c r="E166" s="18">
        <v>233.54400000000001</v>
      </c>
      <c r="F166" s="12">
        <v>141.9</v>
      </c>
      <c r="G166" s="19">
        <v>0.73919999999999997</v>
      </c>
    </row>
    <row r="167" spans="1:7" x14ac:dyDescent="0.25">
      <c r="A167" s="11">
        <v>41548</v>
      </c>
      <c r="B167" s="15">
        <v>1756.5</v>
      </c>
      <c r="C167" s="20">
        <v>3.5000000000000005E-4</v>
      </c>
      <c r="D167" s="12">
        <v>1323.19</v>
      </c>
      <c r="E167" s="18">
        <v>233.66900000000001</v>
      </c>
      <c r="F167" s="12">
        <v>211.2</v>
      </c>
      <c r="G167" s="19">
        <v>0.73599999999999999</v>
      </c>
    </row>
    <row r="168" spans="1:7" x14ac:dyDescent="0.25">
      <c r="A168" s="11">
        <v>41579</v>
      </c>
      <c r="B168" s="15">
        <v>1805.8</v>
      </c>
      <c r="C168" s="20">
        <v>5.0999999999999993E-4</v>
      </c>
      <c r="D168" s="12">
        <v>1251.99</v>
      </c>
      <c r="E168" s="18">
        <v>234.1</v>
      </c>
      <c r="F168" s="12">
        <v>1205.7</v>
      </c>
      <c r="G168" s="19">
        <v>0.73570000000000002</v>
      </c>
    </row>
    <row r="169" spans="1:7" x14ac:dyDescent="0.25">
      <c r="A169" s="11">
        <v>41609</v>
      </c>
      <c r="B169" s="15">
        <v>1848.4</v>
      </c>
      <c r="C169" s="20">
        <v>1.2999999999999999E-4</v>
      </c>
      <c r="D169" s="12">
        <v>1204.94</v>
      </c>
      <c r="E169" s="18">
        <v>234.71899999999999</v>
      </c>
      <c r="F169" s="12">
        <v>805.9</v>
      </c>
      <c r="G169" s="19">
        <v>0.72740000000000005</v>
      </c>
    </row>
    <row r="170" spans="1:7" x14ac:dyDescent="0.25">
      <c r="A170" s="11">
        <v>41640</v>
      </c>
      <c r="B170" s="15">
        <v>1782.6</v>
      </c>
      <c r="C170" s="20">
        <v>3.3E-4</v>
      </c>
      <c r="D170" s="12">
        <v>1243.19</v>
      </c>
      <c r="E170" s="18">
        <v>235.28800000000001</v>
      </c>
      <c r="F170" s="12">
        <v>938.8</v>
      </c>
      <c r="G170" s="19">
        <v>0.74129999999999996</v>
      </c>
    </row>
    <row r="171" spans="1:7" x14ac:dyDescent="0.25">
      <c r="A171" s="11">
        <v>41671</v>
      </c>
      <c r="B171" s="15">
        <v>1859.45</v>
      </c>
      <c r="C171" s="20">
        <v>4.2999999999999999E-4</v>
      </c>
      <c r="D171" s="12">
        <v>1325.79</v>
      </c>
      <c r="E171" s="18">
        <v>235.547</v>
      </c>
      <c r="F171" s="12">
        <v>573.9</v>
      </c>
      <c r="G171" s="19">
        <v>0.72450000000000003</v>
      </c>
    </row>
    <row r="172" spans="1:7" x14ac:dyDescent="0.25">
      <c r="A172" s="11">
        <v>41699</v>
      </c>
      <c r="B172" s="15">
        <v>1872.34</v>
      </c>
      <c r="C172" s="20">
        <v>2.9999999999999997E-4</v>
      </c>
      <c r="D172" s="12">
        <v>1283.6400000000001</v>
      </c>
      <c r="E172" s="18">
        <v>236.02799999999999</v>
      </c>
      <c r="F172" s="12">
        <v>444.7</v>
      </c>
      <c r="G172" s="19">
        <v>0.72609999999999997</v>
      </c>
    </row>
    <row r="173" spans="1:7" x14ac:dyDescent="0.25">
      <c r="A173" s="11">
        <v>41730</v>
      </c>
      <c r="B173" s="15">
        <v>1883.95</v>
      </c>
      <c r="C173" s="20">
        <v>2.0000000000000001E-4</v>
      </c>
      <c r="D173" s="12">
        <v>1291.29</v>
      </c>
      <c r="E173" s="18">
        <v>236.46799999999999</v>
      </c>
      <c r="F173" s="12">
        <v>445.6</v>
      </c>
      <c r="G173" s="19">
        <v>0.72099999999999997</v>
      </c>
    </row>
    <row r="174" spans="1:7" x14ac:dyDescent="0.25">
      <c r="A174" s="11">
        <v>41760</v>
      </c>
      <c r="B174" s="15">
        <v>1923.57</v>
      </c>
      <c r="C174" s="20">
        <v>4.0999999999999999E-4</v>
      </c>
      <c r="D174" s="12">
        <v>1250.69</v>
      </c>
      <c r="E174" s="18">
        <v>236.91800000000001</v>
      </c>
      <c r="F174" s="12">
        <v>627.9</v>
      </c>
      <c r="G174" s="19">
        <v>0.73360000000000003</v>
      </c>
    </row>
    <row r="175" spans="1:7" x14ac:dyDescent="0.25">
      <c r="A175" s="11">
        <v>41791</v>
      </c>
      <c r="B175" s="15">
        <v>1960.23</v>
      </c>
      <c r="C175" s="20">
        <v>1.7999999999999998E-4</v>
      </c>
      <c r="D175" s="12">
        <v>1327.19</v>
      </c>
      <c r="E175" s="18">
        <v>237.23099999999999</v>
      </c>
      <c r="F175" s="12">
        <v>635.1</v>
      </c>
      <c r="G175" s="19">
        <v>0.73029999999999995</v>
      </c>
    </row>
    <row r="176" spans="1:7" x14ac:dyDescent="0.25">
      <c r="A176" s="11">
        <v>41821</v>
      </c>
      <c r="B176" s="15">
        <v>1930.67</v>
      </c>
      <c r="C176" s="20">
        <v>1E-4</v>
      </c>
      <c r="D176" s="12">
        <v>1282.0899999999999</v>
      </c>
      <c r="E176" s="18">
        <v>237.49799999999999</v>
      </c>
      <c r="F176" s="12">
        <v>589.5</v>
      </c>
      <c r="G176" s="19">
        <v>0.74680000000000002</v>
      </c>
    </row>
    <row r="177" spans="1:7" x14ac:dyDescent="0.25">
      <c r="A177" s="11">
        <v>41852</v>
      </c>
      <c r="B177" s="15">
        <v>2003.37</v>
      </c>
      <c r="C177" s="20">
        <v>1.7999999999999998E-4</v>
      </c>
      <c r="D177" s="12">
        <v>1287.07</v>
      </c>
      <c r="E177" s="18">
        <v>237.46</v>
      </c>
      <c r="F177" s="12">
        <v>481.8</v>
      </c>
      <c r="G177" s="19">
        <v>0.76139999999999997</v>
      </c>
    </row>
    <row r="178" spans="1:7" x14ac:dyDescent="0.25">
      <c r="A178" s="11">
        <v>41883</v>
      </c>
      <c r="B178" s="15">
        <v>1972.29</v>
      </c>
      <c r="C178" s="20">
        <v>1.7999999999999998E-4</v>
      </c>
      <c r="D178" s="12">
        <v>1208.74</v>
      </c>
      <c r="E178" s="18">
        <v>237.477</v>
      </c>
      <c r="F178" s="12">
        <v>388.2</v>
      </c>
      <c r="G178" s="19">
        <v>0.79159999999999997</v>
      </c>
    </row>
    <row r="179" spans="1:7" x14ac:dyDescent="0.25">
      <c r="A179" s="11">
        <v>41913</v>
      </c>
      <c r="B179" s="15">
        <v>2018.05</v>
      </c>
      <c r="C179" s="20">
        <v>5.0000000000000002E-5</v>
      </c>
      <c r="D179" s="12">
        <v>1173.92</v>
      </c>
      <c r="E179" s="18">
        <v>237.43</v>
      </c>
      <c r="F179" s="12">
        <v>337.9</v>
      </c>
      <c r="G179" s="19">
        <v>0.7984</v>
      </c>
    </row>
    <row r="180" spans="1:7" x14ac:dyDescent="0.25">
      <c r="A180" s="11">
        <v>41944</v>
      </c>
      <c r="B180" s="15">
        <v>2067.56</v>
      </c>
      <c r="C180" s="20">
        <v>4.2999999999999999E-4</v>
      </c>
      <c r="D180" s="12">
        <v>1167.04</v>
      </c>
      <c r="E180" s="18">
        <v>236.983</v>
      </c>
      <c r="F180" s="12">
        <v>374.9</v>
      </c>
      <c r="G180" s="19">
        <v>0.80300000000000005</v>
      </c>
    </row>
    <row r="181" spans="1:7" x14ac:dyDescent="0.25">
      <c r="A181" s="11">
        <v>41974</v>
      </c>
      <c r="B181" s="15">
        <v>2058.9</v>
      </c>
      <c r="C181" s="20">
        <v>2.5000000000000001E-4</v>
      </c>
      <c r="D181" s="12">
        <v>1183.55</v>
      </c>
      <c r="E181" s="18">
        <v>236.25200000000001</v>
      </c>
      <c r="F181" s="12">
        <v>318.2</v>
      </c>
      <c r="G181" s="19">
        <v>0.82640000000000002</v>
      </c>
    </row>
    <row r="182" spans="1:7" x14ac:dyDescent="0.25">
      <c r="A182" s="11">
        <v>42005</v>
      </c>
      <c r="B182" s="15">
        <v>1994.99</v>
      </c>
      <c r="C182" s="20">
        <v>5.0000000000000002E-5</v>
      </c>
      <c r="D182" s="12">
        <v>1282.8</v>
      </c>
      <c r="E182" s="18">
        <v>234.74700000000001</v>
      </c>
      <c r="F182" s="12">
        <v>218.5</v>
      </c>
      <c r="G182" s="19">
        <v>0.88570000000000004</v>
      </c>
    </row>
    <row r="183" spans="1:7" x14ac:dyDescent="0.25">
      <c r="A183" s="11">
        <v>42036</v>
      </c>
      <c r="B183" s="15">
        <v>2104.5</v>
      </c>
      <c r="C183" s="20">
        <v>1.7999999999999998E-4</v>
      </c>
      <c r="D183" s="12">
        <v>1212.55</v>
      </c>
      <c r="E183" s="18">
        <v>235.34200000000001</v>
      </c>
      <c r="F183" s="12">
        <v>254.1</v>
      </c>
      <c r="G183" s="19">
        <v>0.89300000000000002</v>
      </c>
    </row>
    <row r="184" spans="1:7" x14ac:dyDescent="0.25">
      <c r="A184" s="11">
        <v>42064</v>
      </c>
      <c r="B184" s="15">
        <v>2067.89</v>
      </c>
      <c r="C184" s="20">
        <v>1.7999999999999998E-4</v>
      </c>
      <c r="D184" s="12">
        <v>1183.0999999999999</v>
      </c>
      <c r="E184" s="18">
        <v>235.976</v>
      </c>
      <c r="F184" s="12">
        <v>244.1</v>
      </c>
      <c r="G184" s="19">
        <v>0.93179999999999996</v>
      </c>
    </row>
    <row r="185" spans="1:7" x14ac:dyDescent="0.25">
      <c r="A185" s="11">
        <v>42095</v>
      </c>
      <c r="B185" s="15">
        <v>2085.5100000000002</v>
      </c>
      <c r="C185" s="20">
        <v>-3.0000000000000001E-5</v>
      </c>
      <c r="D185" s="12">
        <v>1183.8499999999999</v>
      </c>
      <c r="E185" s="18">
        <v>236.22200000000001</v>
      </c>
      <c r="F185" s="12">
        <v>235.8</v>
      </c>
      <c r="G185" s="19">
        <v>0.89070000000000005</v>
      </c>
    </row>
    <row r="186" spans="1:7" x14ac:dyDescent="0.25">
      <c r="A186" s="11">
        <v>42125</v>
      </c>
      <c r="B186" s="15">
        <v>2107.39</v>
      </c>
      <c r="C186" s="20">
        <v>8.0000000000000007E-5</v>
      </c>
      <c r="D186" s="12">
        <v>1189.75</v>
      </c>
      <c r="E186" s="18">
        <v>237.001</v>
      </c>
      <c r="F186" s="12">
        <v>229.8</v>
      </c>
      <c r="G186" s="19">
        <v>0.91</v>
      </c>
    </row>
    <row r="187" spans="1:7" x14ac:dyDescent="0.25">
      <c r="A187" s="11">
        <v>42156</v>
      </c>
      <c r="B187" s="15">
        <v>2063.11</v>
      </c>
      <c r="C187" s="20">
        <v>-2.0000000000000002E-5</v>
      </c>
      <c r="D187" s="12">
        <v>1172.2</v>
      </c>
      <c r="E187" s="18">
        <v>237.65700000000001</v>
      </c>
      <c r="F187" s="12">
        <v>264.10000000000002</v>
      </c>
      <c r="G187" s="19">
        <v>0.89770000000000005</v>
      </c>
    </row>
    <row r="188" spans="1:7" x14ac:dyDescent="0.25">
      <c r="A188" s="11">
        <v>42186</v>
      </c>
      <c r="B188" s="15">
        <v>2103.84</v>
      </c>
      <c r="C188" s="20">
        <v>3.1E-4</v>
      </c>
      <c r="D188" s="12">
        <v>1095.4000000000001</v>
      </c>
      <c r="E188" s="18">
        <v>238.03399999999999</v>
      </c>
      <c r="F188" s="12">
        <v>283.7</v>
      </c>
      <c r="G188" s="19">
        <v>0.91</v>
      </c>
    </row>
    <row r="189" spans="1:7" x14ac:dyDescent="0.25">
      <c r="A189" s="11">
        <v>42217</v>
      </c>
      <c r="B189" s="15">
        <v>1972.18</v>
      </c>
      <c r="C189" s="20">
        <v>3.0000000000000001E-5</v>
      </c>
      <c r="D189" s="12">
        <v>1134.0999999999999</v>
      </c>
      <c r="E189" s="18">
        <v>238.03299999999999</v>
      </c>
      <c r="F189" s="12">
        <v>229.5</v>
      </c>
      <c r="G189" s="19">
        <v>0.89139999999999997</v>
      </c>
    </row>
    <row r="190" spans="1:7" x14ac:dyDescent="0.25">
      <c r="A190" s="11">
        <v>42248</v>
      </c>
      <c r="B190" s="15">
        <v>1920.03</v>
      </c>
      <c r="C190" s="20">
        <v>-1E-4</v>
      </c>
      <c r="D190" s="12">
        <v>1114.5999999999999</v>
      </c>
      <c r="E190" s="18">
        <v>237.49799999999999</v>
      </c>
      <c r="F190" s="12">
        <v>235.9</v>
      </c>
      <c r="G190" s="19">
        <v>0.89459999999999995</v>
      </c>
    </row>
    <row r="191" spans="1:7" x14ac:dyDescent="0.25">
      <c r="A191" s="11">
        <v>42278</v>
      </c>
      <c r="B191" s="15">
        <v>2079.36</v>
      </c>
      <c r="C191" s="20">
        <v>8.0000000000000007E-5</v>
      </c>
      <c r="D191" s="12">
        <v>1142</v>
      </c>
      <c r="E191" s="18">
        <v>237.733</v>
      </c>
      <c r="F191" s="12">
        <v>311.2</v>
      </c>
      <c r="G191" s="19">
        <v>0.90859999999999996</v>
      </c>
    </row>
    <row r="192" spans="1:7" x14ac:dyDescent="0.25">
      <c r="A192" s="11">
        <v>42309</v>
      </c>
      <c r="B192" s="15">
        <v>2080.41</v>
      </c>
      <c r="C192" s="20">
        <v>1.0399999999999999E-3</v>
      </c>
      <c r="D192" s="12">
        <v>1064.02</v>
      </c>
      <c r="E192" s="18">
        <v>238.017</v>
      </c>
      <c r="F192" s="12">
        <v>378</v>
      </c>
      <c r="G192" s="19">
        <v>0.94640000000000002</v>
      </c>
    </row>
    <row r="193" spans="1:7" x14ac:dyDescent="0.25">
      <c r="A193" s="11">
        <v>42339</v>
      </c>
      <c r="B193" s="15">
        <v>2043.94</v>
      </c>
      <c r="C193" s="20">
        <v>1.32E-3</v>
      </c>
      <c r="D193" s="12">
        <v>1060.9100000000001</v>
      </c>
      <c r="E193" s="18">
        <v>237.761</v>
      </c>
      <c r="F193" s="12">
        <v>430</v>
      </c>
      <c r="G193" s="19">
        <v>0.92069999999999996</v>
      </c>
    </row>
    <row r="194" spans="1:7" x14ac:dyDescent="0.25">
      <c r="A194" s="11">
        <v>42370</v>
      </c>
      <c r="B194" s="15">
        <v>1940.24</v>
      </c>
      <c r="C194" s="20">
        <v>2.2400000000000002E-3</v>
      </c>
      <c r="D194" s="12">
        <v>1117.6400000000001</v>
      </c>
      <c r="E194" s="18">
        <v>237.65199999999999</v>
      </c>
      <c r="F194" s="12">
        <v>369.8</v>
      </c>
      <c r="G194" s="19">
        <v>0.92259999999999998</v>
      </c>
    </row>
    <row r="195" spans="1:7" x14ac:dyDescent="0.25">
      <c r="A195" s="11">
        <v>42401</v>
      </c>
      <c r="B195" s="15">
        <v>1932.23</v>
      </c>
      <c r="C195" s="20">
        <v>2.3400000000000001E-3</v>
      </c>
      <c r="D195" s="12">
        <v>1237.76</v>
      </c>
      <c r="E195" s="18">
        <v>237.33600000000001</v>
      </c>
      <c r="F195" s="12">
        <v>436.2</v>
      </c>
      <c r="G195" s="19">
        <v>0.91949999999999998</v>
      </c>
    </row>
    <row r="196" spans="1:7" x14ac:dyDescent="0.25">
      <c r="A196" s="11">
        <v>42430</v>
      </c>
      <c r="B196" s="15">
        <v>2059.7399999999998</v>
      </c>
      <c r="C196" s="20">
        <v>1.72E-3</v>
      </c>
      <c r="D196" s="12">
        <v>1231.95</v>
      </c>
      <c r="E196" s="18">
        <v>238.08</v>
      </c>
      <c r="F196" s="12">
        <v>415.7</v>
      </c>
      <c r="G196" s="19">
        <v>0.87860000000000005</v>
      </c>
    </row>
    <row r="197" spans="1:7" x14ac:dyDescent="0.25">
      <c r="A197" s="11">
        <v>42461</v>
      </c>
      <c r="B197" s="15">
        <v>2065.3000000000002</v>
      </c>
      <c r="C197" s="20">
        <v>1.65E-3</v>
      </c>
      <c r="D197" s="12">
        <v>1293.3599999999999</v>
      </c>
      <c r="E197" s="18">
        <v>238.99199999999999</v>
      </c>
      <c r="F197" s="12">
        <v>448.5</v>
      </c>
      <c r="G197" s="19">
        <v>0.87280000000000002</v>
      </c>
    </row>
    <row r="198" spans="1:7" x14ac:dyDescent="0.25">
      <c r="A198" s="11">
        <v>42491</v>
      </c>
      <c r="B198" s="15">
        <v>2096.96</v>
      </c>
      <c r="C198" s="20">
        <v>1.9500000000000001E-3</v>
      </c>
      <c r="D198" s="12">
        <v>1214.69</v>
      </c>
      <c r="E198" s="18">
        <v>239.55699999999999</v>
      </c>
      <c r="F198" s="12">
        <v>528.9</v>
      </c>
      <c r="G198" s="19">
        <v>0.89810000000000001</v>
      </c>
    </row>
    <row r="199" spans="1:7" x14ac:dyDescent="0.25">
      <c r="A199" s="11">
        <v>42522</v>
      </c>
      <c r="B199" s="15">
        <v>2098.86</v>
      </c>
      <c r="C199" s="20">
        <v>1.8500000000000001E-3</v>
      </c>
      <c r="D199" s="12">
        <v>1321.78</v>
      </c>
      <c r="E199" s="18">
        <v>240.22200000000001</v>
      </c>
      <c r="F199" s="12">
        <v>670</v>
      </c>
      <c r="G199" s="19">
        <v>0.90029999999999999</v>
      </c>
    </row>
    <row r="200" spans="1:7" x14ac:dyDescent="0.25">
      <c r="A200" s="11">
        <v>42552</v>
      </c>
      <c r="B200" s="15">
        <v>2173.6</v>
      </c>
      <c r="C200" s="20">
        <v>1.7699999999999999E-3</v>
      </c>
      <c r="D200" s="12">
        <v>1350.59</v>
      </c>
      <c r="E200" s="18">
        <v>240.101</v>
      </c>
      <c r="F200" s="12">
        <v>621.9</v>
      </c>
      <c r="G200" s="19">
        <v>0.89490000000000003</v>
      </c>
    </row>
    <row r="201" spans="1:7" x14ac:dyDescent="0.25">
      <c r="A201" s="11">
        <v>42583</v>
      </c>
      <c r="B201" s="15">
        <v>2170.9499999999998</v>
      </c>
      <c r="C201" s="20">
        <v>2.64E-3</v>
      </c>
      <c r="D201" s="12">
        <v>1308.45</v>
      </c>
      <c r="E201" s="18">
        <v>240.54499999999999</v>
      </c>
      <c r="F201" s="12">
        <v>573.9</v>
      </c>
      <c r="G201" s="19">
        <v>0.89590000000000003</v>
      </c>
    </row>
    <row r="202" spans="1:7" x14ac:dyDescent="0.25">
      <c r="A202" s="11">
        <v>42614</v>
      </c>
      <c r="B202" s="15">
        <v>2168.27</v>
      </c>
      <c r="C202" s="20">
        <v>2E-3</v>
      </c>
      <c r="D202" s="12">
        <v>1315.8</v>
      </c>
      <c r="E202" s="18">
        <v>241.17599999999999</v>
      </c>
      <c r="F202" s="12">
        <v>608.1</v>
      </c>
      <c r="G202" s="19">
        <v>0.88939999999999997</v>
      </c>
    </row>
    <row r="203" spans="1:7" x14ac:dyDescent="0.25">
      <c r="A203" s="11">
        <v>42644</v>
      </c>
      <c r="B203" s="15">
        <v>2126.15</v>
      </c>
      <c r="C203" s="20">
        <v>1.7699999999999999E-3</v>
      </c>
      <c r="D203" s="12">
        <v>1277.28</v>
      </c>
      <c r="E203" s="18">
        <v>241.74100000000001</v>
      </c>
      <c r="F203" s="12">
        <v>698.7</v>
      </c>
      <c r="G203" s="19">
        <v>0.91049999999999998</v>
      </c>
    </row>
    <row r="204" spans="1:7" x14ac:dyDescent="0.25">
      <c r="A204" s="11">
        <v>42675</v>
      </c>
      <c r="B204" s="15">
        <v>2198.81</v>
      </c>
      <c r="C204" s="20">
        <v>3.6800000000000001E-3</v>
      </c>
      <c r="D204" s="12">
        <v>1172.7</v>
      </c>
      <c r="E204" s="18">
        <v>242.02600000000001</v>
      </c>
      <c r="F204" s="12">
        <v>742.5</v>
      </c>
      <c r="G204" s="19">
        <v>0.94430000000000003</v>
      </c>
    </row>
    <row r="205" spans="1:7" x14ac:dyDescent="0.25">
      <c r="A205" s="11">
        <v>42705</v>
      </c>
      <c r="B205" s="15">
        <v>2238.83</v>
      </c>
      <c r="C205" s="20">
        <v>4.2100000000000002E-3</v>
      </c>
      <c r="D205" s="12">
        <v>1151.46</v>
      </c>
      <c r="E205" s="18">
        <v>242.637</v>
      </c>
      <c r="F205" s="12">
        <v>963.4</v>
      </c>
      <c r="G205" s="19">
        <v>0.95069999999999999</v>
      </c>
    </row>
    <row r="206" spans="1:7" x14ac:dyDescent="0.25">
      <c r="A206" s="11">
        <v>42736</v>
      </c>
      <c r="B206" s="15">
        <v>2278.87</v>
      </c>
      <c r="C206" s="20">
        <v>4.6899999999999997E-3</v>
      </c>
      <c r="D206" s="12">
        <v>1210.51</v>
      </c>
      <c r="E206" s="18">
        <v>243.61799999999999</v>
      </c>
      <c r="F206" s="12">
        <v>965.5</v>
      </c>
      <c r="G206" s="19">
        <v>0.92589999999999995</v>
      </c>
    </row>
    <row r="207" spans="1:7" x14ac:dyDescent="0.25">
      <c r="A207" s="11">
        <v>42767</v>
      </c>
      <c r="B207" s="15">
        <v>2363.64</v>
      </c>
      <c r="C207" s="20">
        <v>4.0300000000000006E-3</v>
      </c>
      <c r="D207" s="12">
        <v>1248.52</v>
      </c>
      <c r="E207" s="18">
        <v>244.006</v>
      </c>
      <c r="F207" s="12">
        <v>1189.3</v>
      </c>
      <c r="G207" s="19">
        <v>0.94530000000000003</v>
      </c>
    </row>
    <row r="208" spans="1:7" x14ac:dyDescent="0.25">
      <c r="A208" s="11">
        <v>42795</v>
      </c>
      <c r="B208" s="15">
        <v>2362.7199999999998</v>
      </c>
      <c r="C208" s="20">
        <v>7.3800000000000003E-3</v>
      </c>
      <c r="D208" s="12">
        <v>1248.6300000000001</v>
      </c>
      <c r="E208" s="18">
        <v>243.892</v>
      </c>
      <c r="F208" s="12">
        <v>1079.0999999999999</v>
      </c>
      <c r="G208" s="19">
        <v>0.9385</v>
      </c>
    </row>
    <row r="209" spans="1:7" x14ac:dyDescent="0.25">
      <c r="A209" s="11">
        <v>42826</v>
      </c>
      <c r="B209" s="15">
        <v>2384.1999999999998</v>
      </c>
      <c r="C209" s="20">
        <v>6.7200000000000003E-3</v>
      </c>
      <c r="D209" s="12">
        <v>1267.6500000000001</v>
      </c>
      <c r="E209" s="18">
        <v>244.19300000000001</v>
      </c>
      <c r="F209" s="12">
        <v>1351.9</v>
      </c>
      <c r="G209" s="19">
        <v>0.91749999999999998</v>
      </c>
    </row>
    <row r="210" spans="1:7" x14ac:dyDescent="0.25">
      <c r="A210" s="11">
        <v>42856</v>
      </c>
      <c r="B210" s="15">
        <v>2411.8000000000002</v>
      </c>
      <c r="C210" s="20">
        <v>8.6700000000000006E-3</v>
      </c>
      <c r="D210" s="12">
        <v>1268.0899999999999</v>
      </c>
      <c r="E210" s="18">
        <v>244.00399999999999</v>
      </c>
      <c r="F210" s="12">
        <v>2303.3000000000002</v>
      </c>
      <c r="G210" s="19">
        <v>0.88919999999999999</v>
      </c>
    </row>
    <row r="211" spans="1:7" x14ac:dyDescent="0.25">
      <c r="A211" s="11">
        <v>42887</v>
      </c>
      <c r="B211" s="15">
        <v>2423.41</v>
      </c>
      <c r="C211" s="20">
        <v>8.3899999999999999E-3</v>
      </c>
      <c r="D211" s="12">
        <v>1241.2</v>
      </c>
      <c r="E211" s="18">
        <v>244.16300000000001</v>
      </c>
      <c r="F211" s="12">
        <v>2480.6</v>
      </c>
      <c r="G211" s="19">
        <v>0.875</v>
      </c>
    </row>
    <row r="212" spans="1:7" x14ac:dyDescent="0.25">
      <c r="A212" s="11">
        <v>42917</v>
      </c>
      <c r="B212" s="15">
        <v>2470.3000000000002</v>
      </c>
      <c r="C212" s="20">
        <v>9.8200000000000006E-3</v>
      </c>
      <c r="D212" s="12">
        <v>1269.05</v>
      </c>
      <c r="E212" s="18">
        <v>244.24299999999999</v>
      </c>
      <c r="F212" s="12">
        <v>2883.3</v>
      </c>
      <c r="G212" s="19">
        <v>0.84430000000000005</v>
      </c>
    </row>
    <row r="213" spans="1:7" x14ac:dyDescent="0.25">
      <c r="A213" s="11">
        <v>42948</v>
      </c>
      <c r="B213" s="15">
        <v>2471.65</v>
      </c>
      <c r="C213" s="20">
        <v>9.3799999999999994E-3</v>
      </c>
      <c r="D213" s="12">
        <v>1321.6</v>
      </c>
      <c r="E213" s="18">
        <v>245.18299999999999</v>
      </c>
      <c r="F213" s="12">
        <v>4735.1000000000004</v>
      </c>
      <c r="G213" s="19">
        <v>0.83950000000000002</v>
      </c>
    </row>
    <row r="214" spans="1:7" x14ac:dyDescent="0.25">
      <c r="A214" s="11">
        <v>42979</v>
      </c>
      <c r="B214" s="15">
        <v>2519.36</v>
      </c>
      <c r="C214" s="20">
        <v>9.4900000000000002E-3</v>
      </c>
      <c r="D214" s="12">
        <v>1279.0999999999999</v>
      </c>
      <c r="E214" s="18">
        <v>246.435</v>
      </c>
      <c r="F214" s="12">
        <v>4360.6000000000004</v>
      </c>
      <c r="G214" s="19">
        <v>0.84630000000000005</v>
      </c>
    </row>
    <row r="215" spans="1:7" x14ac:dyDescent="0.25">
      <c r="A215" s="11">
        <v>43009</v>
      </c>
      <c r="B215" s="15">
        <v>2575.2600000000002</v>
      </c>
      <c r="C215" s="20">
        <v>9.7900000000000001E-3</v>
      </c>
      <c r="D215" s="12">
        <v>1271.2</v>
      </c>
      <c r="E215" s="18">
        <v>246.626</v>
      </c>
      <c r="F215" s="12">
        <v>6451.2</v>
      </c>
      <c r="G215" s="19">
        <v>0.85850000000000004</v>
      </c>
    </row>
    <row r="216" spans="1:7" x14ac:dyDescent="0.25">
      <c r="A216" s="11">
        <v>43040</v>
      </c>
      <c r="B216" s="15">
        <v>2647.58</v>
      </c>
      <c r="C216" s="20">
        <v>1.1339999999999999E-2</v>
      </c>
      <c r="D216" s="12">
        <v>1274.3599999999999</v>
      </c>
      <c r="E216" s="18">
        <v>247.28399999999999</v>
      </c>
      <c r="F216" s="12">
        <v>9946.7999999999993</v>
      </c>
      <c r="G216" s="19">
        <v>0.83989999999999998</v>
      </c>
    </row>
    <row r="217" spans="1:7" x14ac:dyDescent="0.25">
      <c r="A217" s="11">
        <v>43070</v>
      </c>
      <c r="B217" s="15">
        <v>2673.61</v>
      </c>
      <c r="C217" s="20">
        <v>1.261E-2</v>
      </c>
      <c r="D217" s="12">
        <v>1302.45</v>
      </c>
      <c r="E217" s="18">
        <v>247.80500000000001</v>
      </c>
      <c r="F217" s="12">
        <v>13850.4</v>
      </c>
      <c r="G217" s="19">
        <v>0.83330000000000004</v>
      </c>
    </row>
    <row r="218" spans="1:7" x14ac:dyDescent="0.25">
      <c r="A218" s="11">
        <v>43101</v>
      </c>
      <c r="B218" s="15">
        <v>2823.81</v>
      </c>
      <c r="C218" s="20">
        <v>1.4619999999999999E-2</v>
      </c>
      <c r="D218" s="12">
        <v>1344.7</v>
      </c>
      <c r="E218" s="18">
        <v>248.85900000000001</v>
      </c>
      <c r="F218" s="12">
        <v>10265.4</v>
      </c>
      <c r="G218" s="19">
        <v>0.80500000000000005</v>
      </c>
    </row>
    <row r="219" spans="1:7" x14ac:dyDescent="0.25">
      <c r="A219" s="11">
        <v>43132</v>
      </c>
      <c r="B219" s="15">
        <v>2713.83</v>
      </c>
      <c r="C219" s="20">
        <v>1.5069999999999998E-2</v>
      </c>
      <c r="D219" s="12">
        <v>1317.66</v>
      </c>
      <c r="E219" s="18">
        <v>249.529</v>
      </c>
      <c r="F219" s="12">
        <v>10333.9</v>
      </c>
      <c r="G219" s="19">
        <v>0.81989999999999996</v>
      </c>
    </row>
    <row r="220" spans="1:7" x14ac:dyDescent="0.25">
      <c r="A220" s="11">
        <v>43160</v>
      </c>
      <c r="B220" s="15">
        <v>2640.87</v>
      </c>
      <c r="C220" s="20">
        <v>1.6209999999999999E-2</v>
      </c>
      <c r="D220" s="12">
        <v>1324</v>
      </c>
      <c r="E220" s="18">
        <v>249.577</v>
      </c>
      <c r="F220" s="12">
        <v>6938.2</v>
      </c>
      <c r="G220" s="19">
        <v>0.81140000000000001</v>
      </c>
    </row>
    <row r="221" spans="1:7" x14ac:dyDescent="0.25">
      <c r="A221" s="11">
        <v>43191</v>
      </c>
      <c r="B221" s="15">
        <v>2648.05</v>
      </c>
      <c r="C221" s="20">
        <v>1.6240000000000001E-2</v>
      </c>
      <c r="D221" s="12">
        <v>1314.95</v>
      </c>
      <c r="E221" s="18">
        <v>250.227</v>
      </c>
      <c r="F221" s="12">
        <v>9245.1</v>
      </c>
      <c r="G221" s="19">
        <v>0.82779999999999998</v>
      </c>
    </row>
    <row r="222" spans="1:7" x14ac:dyDescent="0.25">
      <c r="A222" s="11">
        <v>43221</v>
      </c>
      <c r="B222" s="15">
        <v>2705.27</v>
      </c>
      <c r="C222" s="20">
        <v>1.746E-2</v>
      </c>
      <c r="D222" s="12">
        <v>1297.92</v>
      </c>
      <c r="E222" s="18">
        <v>250.792</v>
      </c>
      <c r="F222" s="12">
        <v>7502.6</v>
      </c>
      <c r="G222" s="19">
        <v>0.85509999999999997</v>
      </c>
    </row>
    <row r="223" spans="1:7" x14ac:dyDescent="0.25">
      <c r="A223" s="11">
        <v>43252</v>
      </c>
      <c r="B223" s="15">
        <v>2718.37</v>
      </c>
      <c r="C223" s="20">
        <v>1.7589999999999998E-2</v>
      </c>
      <c r="D223" s="12">
        <v>1252.25</v>
      </c>
      <c r="E223" s="18">
        <v>251.018</v>
      </c>
      <c r="F223" s="12">
        <v>6398.9</v>
      </c>
      <c r="G223" s="19">
        <v>0.85570000000000002</v>
      </c>
    </row>
    <row r="224" spans="1:7" x14ac:dyDescent="0.25">
      <c r="A224" s="11">
        <v>43282</v>
      </c>
      <c r="B224" s="15">
        <v>2816.29</v>
      </c>
      <c r="C224" s="20">
        <v>1.898E-2</v>
      </c>
      <c r="D224" s="12">
        <v>1223.4100000000001</v>
      </c>
      <c r="E224" s="18">
        <v>251.214</v>
      </c>
      <c r="F224" s="12">
        <v>7729.4</v>
      </c>
      <c r="G224" s="19">
        <v>0.85529999999999995</v>
      </c>
    </row>
    <row r="225" spans="1:7" x14ac:dyDescent="0.25">
      <c r="A225" s="11">
        <v>43313</v>
      </c>
      <c r="B225" s="15">
        <v>2901.52</v>
      </c>
      <c r="C225" s="20">
        <v>1.934E-2</v>
      </c>
      <c r="D225" s="12">
        <v>1200.71</v>
      </c>
      <c r="E225" s="18">
        <v>251.66300000000001</v>
      </c>
      <c r="F225" s="12">
        <v>7033.8</v>
      </c>
      <c r="G225" s="19">
        <v>0.86170000000000002</v>
      </c>
    </row>
    <row r="226" spans="1:7" x14ac:dyDescent="0.25">
      <c r="A226" s="11">
        <v>43344</v>
      </c>
      <c r="B226" s="15">
        <v>2913.98</v>
      </c>
      <c r="C226" s="20">
        <v>2.112E-2</v>
      </c>
      <c r="D226" s="12">
        <v>1191.69</v>
      </c>
      <c r="E226" s="18">
        <v>252.18199999999999</v>
      </c>
      <c r="F226" s="12">
        <v>6635.2</v>
      </c>
      <c r="G226" s="19">
        <v>0.86129999999999995</v>
      </c>
    </row>
    <row r="227" spans="1:7" x14ac:dyDescent="0.25">
      <c r="A227" s="11">
        <v>43374</v>
      </c>
      <c r="B227" s="15">
        <v>2711.74</v>
      </c>
      <c r="C227" s="20">
        <v>2.1940000000000001E-2</v>
      </c>
      <c r="D227" s="12">
        <v>1214.1400000000001</v>
      </c>
      <c r="E227" s="18">
        <v>252.77199999999999</v>
      </c>
      <c r="F227" s="12">
        <v>6365.9</v>
      </c>
      <c r="G227" s="19">
        <v>0.88390000000000002</v>
      </c>
    </row>
    <row r="228" spans="1:7" x14ac:dyDescent="0.25">
      <c r="A228" s="11">
        <v>43405</v>
      </c>
      <c r="B228" s="15">
        <v>2760.17</v>
      </c>
      <c r="C228" s="20">
        <v>2.307E-2</v>
      </c>
      <c r="D228" s="12">
        <v>1221.8800000000001</v>
      </c>
      <c r="E228" s="18">
        <v>252.59399999999999</v>
      </c>
      <c r="F228" s="12">
        <v>4039.7</v>
      </c>
      <c r="G228" s="19">
        <v>0.88349999999999995</v>
      </c>
    </row>
    <row r="229" spans="1:7" x14ac:dyDescent="0.25">
      <c r="A229" s="11">
        <v>43435</v>
      </c>
      <c r="B229" s="15">
        <v>2506.85</v>
      </c>
      <c r="C229" s="20">
        <v>2.435E-2</v>
      </c>
      <c r="D229" s="12">
        <v>1282.73</v>
      </c>
      <c r="E229" s="18">
        <v>252.767</v>
      </c>
      <c r="F229" s="12">
        <v>3709.4</v>
      </c>
      <c r="G229" s="19">
        <v>0.87170000000000003</v>
      </c>
    </row>
    <row r="230" spans="1:7" x14ac:dyDescent="0.25">
      <c r="A230" s="11">
        <v>43466</v>
      </c>
      <c r="B230" s="15">
        <v>2704.1</v>
      </c>
      <c r="C230" s="20">
        <v>2.3969999999999998E-2</v>
      </c>
      <c r="D230" s="12">
        <v>1320.56</v>
      </c>
      <c r="E230" s="18">
        <v>252.56100000000001</v>
      </c>
      <c r="F230" s="12">
        <v>3437.2</v>
      </c>
      <c r="G230" s="19">
        <v>0.87350000000000005</v>
      </c>
    </row>
    <row r="231" spans="1:7" x14ac:dyDescent="0.25">
      <c r="A231" s="11">
        <v>43497</v>
      </c>
      <c r="B231" s="15">
        <v>2784.49</v>
      </c>
      <c r="C231" s="20">
        <v>2.4150000000000001E-2</v>
      </c>
      <c r="D231" s="12">
        <v>1312.66</v>
      </c>
      <c r="E231" s="18">
        <v>253.31899999999999</v>
      </c>
      <c r="F231" s="12">
        <v>3816.6</v>
      </c>
      <c r="G231" s="19">
        <v>0.87939999999999996</v>
      </c>
    </row>
    <row r="232" spans="1:7" x14ac:dyDescent="0.25">
      <c r="A232" s="11">
        <v>43525</v>
      </c>
      <c r="B232" s="15">
        <v>2834.4</v>
      </c>
      <c r="C232" s="20">
        <v>2.452E-2</v>
      </c>
      <c r="D232" s="12">
        <v>1291.9000000000001</v>
      </c>
      <c r="E232" s="18">
        <v>254.27699999999999</v>
      </c>
      <c r="F232" s="12">
        <v>4102.3</v>
      </c>
      <c r="G232" s="19">
        <v>0.89129999999999998</v>
      </c>
    </row>
    <row r="233" spans="1:7" x14ac:dyDescent="0.25">
      <c r="A233" s="11">
        <v>43556</v>
      </c>
      <c r="B233" s="15">
        <v>2945.83</v>
      </c>
      <c r="C233" s="20">
        <v>2.4289999999999999E-2</v>
      </c>
      <c r="D233" s="12">
        <v>1283.3499999999999</v>
      </c>
      <c r="E233" s="18">
        <v>255.233</v>
      </c>
      <c r="F233" s="12">
        <v>5320.8</v>
      </c>
      <c r="G233" s="19">
        <v>0.89159999999999995</v>
      </c>
    </row>
    <row r="234" spans="1:7" x14ac:dyDescent="0.25">
      <c r="A234" s="11">
        <v>43586</v>
      </c>
      <c r="B234" s="15">
        <v>2752.06</v>
      </c>
      <c r="C234" s="20">
        <v>2.3629999999999998E-2</v>
      </c>
      <c r="D234" s="12">
        <v>1305.25</v>
      </c>
      <c r="E234" s="18">
        <v>255.29599999999999</v>
      </c>
      <c r="F234" s="12">
        <v>8558.2999999999993</v>
      </c>
      <c r="G234" s="19">
        <v>0.89400000000000002</v>
      </c>
    </row>
    <row r="235" spans="1:7" x14ac:dyDescent="0.25">
      <c r="A235" s="11">
        <v>43617</v>
      </c>
      <c r="B235" s="15">
        <v>2941.76</v>
      </c>
      <c r="C235" s="20">
        <v>2.1819999999999999E-2</v>
      </c>
      <c r="D235" s="12">
        <v>1409.1</v>
      </c>
      <c r="E235" s="18">
        <v>255.21299999999999</v>
      </c>
      <c r="F235" s="12">
        <v>10818.6</v>
      </c>
      <c r="G235" s="19">
        <v>0.87939999999999996</v>
      </c>
    </row>
    <row r="236" spans="1:7" x14ac:dyDescent="0.25">
      <c r="A236" s="11">
        <v>43647</v>
      </c>
      <c r="B236" s="15">
        <v>2980.38</v>
      </c>
      <c r="C236" s="20">
        <v>1.9950000000000002E-2</v>
      </c>
      <c r="D236" s="12">
        <v>1413.55</v>
      </c>
      <c r="E236" s="18">
        <v>255.80199999999999</v>
      </c>
      <c r="F236" s="12">
        <v>10082</v>
      </c>
      <c r="G236" s="19">
        <v>0.90269999999999995</v>
      </c>
    </row>
    <row r="237" spans="1:7" x14ac:dyDescent="0.25">
      <c r="A237" s="11">
        <v>43678</v>
      </c>
      <c r="B237" s="15">
        <v>2926.46</v>
      </c>
      <c r="C237" s="20">
        <v>2.0930000000000001E-2</v>
      </c>
      <c r="D237" s="12">
        <v>1519.85</v>
      </c>
      <c r="E237" s="18">
        <v>256.036</v>
      </c>
      <c r="F237" s="12">
        <v>9594.4</v>
      </c>
      <c r="G237" s="19">
        <v>0.90969999999999995</v>
      </c>
    </row>
    <row r="238" spans="1:7" x14ac:dyDescent="0.25">
      <c r="A238" s="11">
        <v>43709</v>
      </c>
      <c r="B238" s="15">
        <v>2976.74</v>
      </c>
      <c r="C238" s="20">
        <v>1.9470000000000001E-2</v>
      </c>
      <c r="D238" s="12">
        <v>1472</v>
      </c>
      <c r="E238" s="18">
        <v>256.43</v>
      </c>
      <c r="F238" s="12">
        <v>8284.2999999999993</v>
      </c>
      <c r="G238" s="19">
        <v>0.9173</v>
      </c>
    </row>
    <row r="239" spans="1:7" x14ac:dyDescent="0.25">
      <c r="A239" s="11">
        <v>43739</v>
      </c>
      <c r="B239" s="15">
        <v>3037.56</v>
      </c>
      <c r="C239" s="20">
        <v>1.5469999999999999E-2</v>
      </c>
      <c r="D239" s="12">
        <v>1513.16</v>
      </c>
      <c r="E239" s="18">
        <v>257.15499999999997</v>
      </c>
      <c r="F239" s="12">
        <v>9152.6</v>
      </c>
      <c r="G239" s="19">
        <v>0.89649999999999996</v>
      </c>
    </row>
    <row r="240" spans="1:7" x14ac:dyDescent="0.25">
      <c r="A240" s="11">
        <v>43770</v>
      </c>
      <c r="B240" s="15">
        <v>3140.98</v>
      </c>
      <c r="C240" s="20">
        <v>1.652E-2</v>
      </c>
      <c r="D240" s="12">
        <v>1463.9</v>
      </c>
      <c r="E240" s="18">
        <v>257.87900000000002</v>
      </c>
      <c r="F240" s="12">
        <v>7546.6</v>
      </c>
      <c r="G240" s="19">
        <v>0.90749999999999997</v>
      </c>
    </row>
    <row r="241" spans="1:7" x14ac:dyDescent="0.25">
      <c r="A241" s="11">
        <v>43800</v>
      </c>
      <c r="B241" s="15">
        <v>3230.78</v>
      </c>
      <c r="C241" s="20">
        <v>1.478E-2</v>
      </c>
      <c r="D241" s="12">
        <v>1517.01</v>
      </c>
      <c r="E241" s="18">
        <v>258.63</v>
      </c>
      <c r="F241" s="12">
        <v>7196.4</v>
      </c>
      <c r="G241" s="19">
        <v>0.89170000000000005</v>
      </c>
    </row>
    <row r="242" spans="1:7" x14ac:dyDescent="0.25">
      <c r="A242" s="11">
        <v>43831</v>
      </c>
      <c r="B242" s="15">
        <v>3225.52</v>
      </c>
      <c r="C242" s="20">
        <v>1.5679999999999999E-2</v>
      </c>
      <c r="D242" s="12">
        <v>1589.81</v>
      </c>
      <c r="E242" s="18">
        <v>259.12700000000001</v>
      </c>
      <c r="F242" s="12">
        <v>9349.1</v>
      </c>
      <c r="G242" s="19">
        <v>0.90129999999999999</v>
      </c>
    </row>
    <row r="243" spans="1:7" x14ac:dyDescent="0.25">
      <c r="A243" s="11">
        <v>43862</v>
      </c>
      <c r="B243" s="15">
        <v>2954.22</v>
      </c>
      <c r="C243" s="20">
        <v>1.444E-2</v>
      </c>
      <c r="D243" s="12">
        <v>1584.74</v>
      </c>
      <c r="E243" s="18">
        <v>259.25</v>
      </c>
      <c r="F243" s="12">
        <v>8543.7000000000007</v>
      </c>
      <c r="G243" s="19">
        <v>0.90680000000000005</v>
      </c>
    </row>
    <row r="244" spans="1:7" x14ac:dyDescent="0.25">
      <c r="A244" s="11">
        <v>43891</v>
      </c>
      <c r="B244" s="15">
        <v>2584.59</v>
      </c>
      <c r="C244" s="20">
        <v>3.7999999999999997E-4</v>
      </c>
      <c r="D244" s="12">
        <v>1571.05</v>
      </c>
      <c r="E244" s="18">
        <v>258.07600000000002</v>
      </c>
      <c r="F244" s="12">
        <v>6412.5</v>
      </c>
      <c r="G244" s="19">
        <v>0.90639999999999998</v>
      </c>
    </row>
    <row r="245" spans="1:7" x14ac:dyDescent="0.25">
      <c r="A245" s="11">
        <v>43922</v>
      </c>
      <c r="B245" s="15">
        <v>2912.43</v>
      </c>
      <c r="C245" s="20">
        <v>8.8999999999999995E-4</v>
      </c>
      <c r="D245" s="12">
        <v>1680.09</v>
      </c>
      <c r="E245" s="18">
        <v>256.03199999999998</v>
      </c>
      <c r="F245" s="12">
        <v>8629</v>
      </c>
      <c r="G245" s="19">
        <v>0.91249999999999998</v>
      </c>
    </row>
    <row r="246" spans="1:7" x14ac:dyDescent="0.25">
      <c r="A246" s="11">
        <v>43952</v>
      </c>
      <c r="B246" s="15">
        <v>3044.31</v>
      </c>
      <c r="C246" s="20">
        <v>1.2900000000000001E-3</v>
      </c>
      <c r="D246" s="12">
        <v>1726.3</v>
      </c>
      <c r="E246" s="18">
        <v>255.80199999999999</v>
      </c>
      <c r="F246" s="12">
        <v>9454.7999999999993</v>
      </c>
      <c r="G246" s="19">
        <v>0.90090000000000003</v>
      </c>
    </row>
    <row r="247" spans="1:7" x14ac:dyDescent="0.25">
      <c r="A247" s="11">
        <v>43983</v>
      </c>
      <c r="B247" s="15">
        <v>3100.29</v>
      </c>
      <c r="C247" s="20">
        <v>1.2900000000000001E-3</v>
      </c>
      <c r="D247" s="12">
        <v>1780.67</v>
      </c>
      <c r="E247" s="18">
        <v>257.04199999999997</v>
      </c>
      <c r="F247" s="12">
        <v>9135.4</v>
      </c>
      <c r="G247" s="19">
        <v>0.8901</v>
      </c>
    </row>
    <row r="248" spans="1:7" x14ac:dyDescent="0.25">
      <c r="A248" s="11">
        <v>44013</v>
      </c>
      <c r="B248" s="15">
        <v>3271.12</v>
      </c>
      <c r="C248" s="20">
        <v>9.6000000000000002E-4</v>
      </c>
      <c r="D248" s="12">
        <v>1974.69</v>
      </c>
      <c r="E248" s="18">
        <v>258.35199999999998</v>
      </c>
      <c r="F248" s="12">
        <v>11333.4</v>
      </c>
      <c r="G248" s="19">
        <v>0.8488</v>
      </c>
    </row>
    <row r="249" spans="1:7" x14ac:dyDescent="0.25">
      <c r="A249" s="11">
        <v>44044</v>
      </c>
      <c r="B249" s="15">
        <v>3500.31</v>
      </c>
      <c r="C249" s="20">
        <v>8.5999999999999998E-4</v>
      </c>
      <c r="D249" s="12">
        <v>1969.75</v>
      </c>
      <c r="E249" s="18">
        <v>259.31599999999997</v>
      </c>
      <c r="F249" s="12">
        <v>11644.2</v>
      </c>
      <c r="G249" s="19">
        <v>0.8377</v>
      </c>
    </row>
    <row r="250" spans="1:7" x14ac:dyDescent="0.25">
      <c r="A250" s="11">
        <v>44075</v>
      </c>
      <c r="B250" s="15">
        <v>3363</v>
      </c>
      <c r="C250" s="20">
        <v>7.3999999999999999E-4</v>
      </c>
      <c r="D250" s="12">
        <v>1885.44</v>
      </c>
      <c r="E250" s="18">
        <v>259.99700000000001</v>
      </c>
      <c r="F250" s="12">
        <v>10776.1</v>
      </c>
      <c r="G250" s="19">
        <v>0.85309999999999997</v>
      </c>
    </row>
    <row r="251" spans="1:7" x14ac:dyDescent="0.25">
      <c r="A251" s="11">
        <v>44105</v>
      </c>
      <c r="B251" s="15">
        <v>3269.96</v>
      </c>
      <c r="C251" s="20">
        <v>8.4000000000000003E-4</v>
      </c>
      <c r="D251" s="12">
        <v>1877.95</v>
      </c>
      <c r="E251" s="18">
        <v>260.31900000000002</v>
      </c>
      <c r="F251" s="12">
        <v>13797.3</v>
      </c>
      <c r="G251" s="19">
        <v>0.85829999999999995</v>
      </c>
    </row>
    <row r="252" spans="1:7" x14ac:dyDescent="0.25">
      <c r="A252" s="11">
        <v>44136</v>
      </c>
      <c r="B252" s="15">
        <v>3621.63</v>
      </c>
      <c r="C252" s="20">
        <v>8.1000000000000006E-4</v>
      </c>
      <c r="D252" s="12">
        <v>1777.02</v>
      </c>
      <c r="E252" s="18">
        <v>260.911</v>
      </c>
      <c r="F252" s="12">
        <v>19698.099999999999</v>
      </c>
      <c r="G252" s="19">
        <v>0.83809999999999996</v>
      </c>
    </row>
    <row r="253" spans="1:7" x14ac:dyDescent="0.25">
      <c r="A253" s="11">
        <v>44166</v>
      </c>
      <c r="B253" s="15">
        <v>3756.07</v>
      </c>
      <c r="C253" s="20">
        <v>5.6000000000000006E-4</v>
      </c>
      <c r="D253" s="12">
        <v>1896.49</v>
      </c>
      <c r="E253" s="18">
        <v>262.04500000000002</v>
      </c>
      <c r="F253" s="12">
        <v>28949.4</v>
      </c>
      <c r="G253" s="19">
        <v>0.81850000000000001</v>
      </c>
    </row>
    <row r="254" spans="1:7" x14ac:dyDescent="0.25">
      <c r="A254" s="11">
        <v>44197</v>
      </c>
      <c r="B254" s="15">
        <v>3714.24</v>
      </c>
      <c r="C254" s="20">
        <v>5.6000000000000006E-4</v>
      </c>
      <c r="D254" s="12">
        <v>1846.09</v>
      </c>
      <c r="E254" s="18">
        <v>262.68700000000001</v>
      </c>
      <c r="F254" s="12">
        <v>33108.1</v>
      </c>
      <c r="G254" s="19">
        <v>0.82389999999999997</v>
      </c>
    </row>
    <row r="255" spans="1:7" x14ac:dyDescent="0.25">
      <c r="A255" s="11">
        <v>44228</v>
      </c>
      <c r="B255" s="15">
        <v>3811.15</v>
      </c>
      <c r="C255" s="20">
        <v>2.9999999999999997E-4</v>
      </c>
      <c r="D255" s="12">
        <v>1733.49</v>
      </c>
      <c r="E255" s="18">
        <v>263.57900000000001</v>
      </c>
      <c r="F255" s="12">
        <v>45164</v>
      </c>
      <c r="G255" s="19">
        <v>0.82799999999999996</v>
      </c>
    </row>
    <row r="256" spans="1:7" x14ac:dyDescent="0.25">
      <c r="A256" s="11">
        <v>44256</v>
      </c>
      <c r="B256" s="15">
        <v>3972.89</v>
      </c>
      <c r="C256" s="20">
        <v>1.2999999999999999E-4</v>
      </c>
      <c r="D256" s="12">
        <v>1707.01</v>
      </c>
      <c r="E256" s="18">
        <v>264.96100000000001</v>
      </c>
      <c r="F256" s="12">
        <v>58763.7</v>
      </c>
      <c r="G256" s="19">
        <v>0.85240000000000005</v>
      </c>
    </row>
    <row r="257" spans="1:7" x14ac:dyDescent="0.25">
      <c r="A257" s="11">
        <v>44287</v>
      </c>
      <c r="B257" s="15">
        <v>4181.17</v>
      </c>
      <c r="C257" s="20">
        <v>1E-4</v>
      </c>
      <c r="D257" s="12">
        <v>1768.59</v>
      </c>
      <c r="E257" s="18">
        <v>266.61399999999998</v>
      </c>
      <c r="F257" s="12">
        <v>57720.3</v>
      </c>
      <c r="G257" s="19">
        <v>0.83179999999999998</v>
      </c>
    </row>
    <row r="258" spans="1:7" x14ac:dyDescent="0.25">
      <c r="A258" s="11">
        <v>44317</v>
      </c>
      <c r="B258" s="15">
        <v>4204.1099999999997</v>
      </c>
      <c r="C258" s="20">
        <v>5.0000000000000002E-5</v>
      </c>
      <c r="D258" s="12">
        <v>1906.36</v>
      </c>
      <c r="E258" s="18">
        <v>268.38299999999998</v>
      </c>
      <c r="F258" s="12">
        <v>37298.6</v>
      </c>
      <c r="G258" s="19">
        <v>0.81769999999999998</v>
      </c>
    </row>
    <row r="259" spans="1:7" x14ac:dyDescent="0.25">
      <c r="A259" s="11">
        <v>44348</v>
      </c>
      <c r="B259" s="15">
        <v>4297.5</v>
      </c>
      <c r="C259" s="20">
        <v>4.8000000000000001E-4</v>
      </c>
      <c r="D259" s="12">
        <v>1769.8</v>
      </c>
      <c r="E259" s="18">
        <v>270.654</v>
      </c>
      <c r="F259" s="12">
        <v>35026.9</v>
      </c>
      <c r="G259" s="19">
        <v>0.84330000000000005</v>
      </c>
    </row>
    <row r="260" spans="1:7" x14ac:dyDescent="0.25">
      <c r="A260" s="11">
        <v>44378</v>
      </c>
      <c r="B260" s="15">
        <v>4395.26</v>
      </c>
      <c r="C260" s="20">
        <v>4.6000000000000001E-4</v>
      </c>
      <c r="D260" s="12">
        <v>1813.58</v>
      </c>
      <c r="E260" s="18">
        <v>271.90300000000002</v>
      </c>
      <c r="F260" s="12">
        <v>41553.699999999997</v>
      </c>
      <c r="G260" s="19">
        <v>0.84230000000000005</v>
      </c>
    </row>
    <row r="261" spans="1:7" x14ac:dyDescent="0.25">
      <c r="A261" s="11">
        <v>44409</v>
      </c>
      <c r="B261" s="15">
        <v>4522.68</v>
      </c>
      <c r="C261" s="20">
        <v>3.5000000000000005E-4</v>
      </c>
      <c r="D261" s="12">
        <v>1813.43</v>
      </c>
      <c r="E261" s="18">
        <v>272.67599999999999</v>
      </c>
      <c r="F261" s="12">
        <v>47130.400000000001</v>
      </c>
      <c r="G261" s="19">
        <v>0.84670000000000001</v>
      </c>
    </row>
    <row r="262" spans="1:7" x14ac:dyDescent="0.25">
      <c r="A262" s="11">
        <v>44440</v>
      </c>
      <c r="B262" s="15">
        <v>4307.54</v>
      </c>
      <c r="C262" s="20">
        <v>5.2999999999999998E-4</v>
      </c>
      <c r="D262" s="12">
        <v>1756.66</v>
      </c>
      <c r="E262" s="18">
        <v>273.91000000000003</v>
      </c>
      <c r="F262" s="12">
        <v>43823.3</v>
      </c>
      <c r="G262" s="19">
        <v>0.86319999999999997</v>
      </c>
    </row>
    <row r="263" spans="1:7" x14ac:dyDescent="0.25">
      <c r="A263" s="11">
        <v>44470</v>
      </c>
      <c r="B263" s="15">
        <v>4605.38</v>
      </c>
      <c r="C263" s="20">
        <v>5.6000000000000006E-4</v>
      </c>
      <c r="D263" s="12">
        <v>1782.81</v>
      </c>
      <c r="E263" s="18">
        <v>276.55</v>
      </c>
      <c r="F263" s="12">
        <v>61309.599999999999</v>
      </c>
      <c r="G263" s="19">
        <v>0.86470000000000002</v>
      </c>
    </row>
    <row r="264" spans="1:7" x14ac:dyDescent="0.25">
      <c r="A264" s="11">
        <v>44501</v>
      </c>
      <c r="B264" s="15">
        <v>4567</v>
      </c>
      <c r="C264" s="20">
        <v>1.06E-3</v>
      </c>
      <c r="D264" s="12">
        <v>1773.78</v>
      </c>
      <c r="E264" s="18">
        <v>278.91899999999998</v>
      </c>
      <c r="F264" s="12">
        <v>56882.9</v>
      </c>
      <c r="G264" s="19">
        <v>0.88190000000000002</v>
      </c>
    </row>
    <row r="265" spans="1:7" x14ac:dyDescent="0.25">
      <c r="A265" s="11">
        <v>44531</v>
      </c>
      <c r="B265" s="15">
        <v>4766.18</v>
      </c>
      <c r="C265" s="20">
        <v>5.6000000000000006E-4</v>
      </c>
      <c r="D265" s="12">
        <v>1828.39</v>
      </c>
      <c r="E265" s="18">
        <v>280.84500000000003</v>
      </c>
      <c r="F265" s="12">
        <v>46219.5</v>
      </c>
      <c r="G265" s="19">
        <v>0.87939999999999996</v>
      </c>
    </row>
    <row r="266" spans="1:7" x14ac:dyDescent="0.25">
      <c r="A266" s="11">
        <v>44562</v>
      </c>
      <c r="B266" s="15">
        <v>4515.55</v>
      </c>
      <c r="C266" s="20">
        <v>4.0999999999999999E-4</v>
      </c>
      <c r="D266" s="12">
        <v>1796.47</v>
      </c>
      <c r="E266" s="18">
        <v>282.54300000000001</v>
      </c>
      <c r="F266" s="12">
        <v>38498.6</v>
      </c>
      <c r="G266" s="19">
        <v>0.88990000000000002</v>
      </c>
    </row>
    <row r="267" spans="1:7" x14ac:dyDescent="0.25">
      <c r="A267" s="11">
        <v>44593</v>
      </c>
      <c r="B267" s="15">
        <v>4373.9399999999996</v>
      </c>
      <c r="C267" s="20">
        <v>6.0999999999999997E-4</v>
      </c>
      <c r="D267" s="12">
        <v>1907.9</v>
      </c>
      <c r="E267" s="18">
        <v>284.5</v>
      </c>
      <c r="F267" s="12">
        <v>43188.2</v>
      </c>
      <c r="G267" s="19">
        <v>0.89100000000000001</v>
      </c>
    </row>
    <row r="268" spans="1:7" x14ac:dyDescent="0.25">
      <c r="A268" s="11">
        <v>44621</v>
      </c>
      <c r="B268" s="15">
        <v>4530.41</v>
      </c>
      <c r="C268" s="20">
        <v>1.47E-3</v>
      </c>
      <c r="D268" s="12">
        <v>1937.23</v>
      </c>
      <c r="E268" s="18">
        <v>287.67399999999998</v>
      </c>
      <c r="F268" s="12">
        <v>45525</v>
      </c>
      <c r="G268" s="19">
        <v>0.90339999999999998</v>
      </c>
    </row>
    <row r="269" spans="1:7" x14ac:dyDescent="0.25">
      <c r="A269" s="11">
        <v>44652</v>
      </c>
      <c r="B269" s="15">
        <v>4131.93</v>
      </c>
      <c r="C269" s="20">
        <v>3.7000000000000002E-3</v>
      </c>
      <c r="D269" s="12">
        <v>1896.4</v>
      </c>
      <c r="E269" s="18">
        <v>288.56099999999998</v>
      </c>
      <c r="F269" s="12">
        <v>37650</v>
      </c>
      <c r="G269" s="19">
        <v>0.94830000000000003</v>
      </c>
    </row>
    <row r="270" spans="1:7" x14ac:dyDescent="0.25">
      <c r="A270" s="11">
        <v>44682</v>
      </c>
      <c r="B270" s="15">
        <v>4132.1499999999996</v>
      </c>
      <c r="C270" s="20">
        <v>7.1999999999999998E-3</v>
      </c>
      <c r="D270" s="12">
        <v>1837.09</v>
      </c>
      <c r="E270" s="18">
        <v>291.298</v>
      </c>
      <c r="F270" s="12">
        <v>31793.4</v>
      </c>
      <c r="G270" s="19">
        <v>0.93140000000000001</v>
      </c>
    </row>
    <row r="271" spans="1:7" x14ac:dyDescent="0.25">
      <c r="A271" s="11">
        <v>44713</v>
      </c>
      <c r="B271" s="15">
        <v>3785.38</v>
      </c>
      <c r="C271" s="20">
        <v>1.0780000000000001E-2</v>
      </c>
      <c r="D271" s="12">
        <v>1806.89</v>
      </c>
      <c r="E271" s="18">
        <v>294.95699999999999</v>
      </c>
      <c r="F271" s="12">
        <v>19926.599999999999</v>
      </c>
      <c r="G271" s="19">
        <v>0.95369999999999999</v>
      </c>
    </row>
    <row r="272" spans="1:7" x14ac:dyDescent="0.25">
      <c r="A272" s="11">
        <v>44743</v>
      </c>
      <c r="B272" s="15">
        <v>4130.29</v>
      </c>
      <c r="C272" s="20">
        <v>2.189E-2</v>
      </c>
      <c r="D272" s="12">
        <v>1765.22</v>
      </c>
      <c r="E272" s="18">
        <v>294.91300000000001</v>
      </c>
      <c r="F272" s="12">
        <v>23303.4</v>
      </c>
      <c r="G272" s="19">
        <v>0.97829999999999995</v>
      </c>
    </row>
    <row r="273" spans="1:7" x14ac:dyDescent="0.25">
      <c r="A273" s="11">
        <v>44774</v>
      </c>
      <c r="B273" s="15">
        <v>3955</v>
      </c>
      <c r="C273" s="20">
        <v>2.3359999999999999E-2</v>
      </c>
      <c r="D273" s="12">
        <v>1710.7</v>
      </c>
      <c r="E273" s="18">
        <v>295.09699999999998</v>
      </c>
      <c r="F273" s="12">
        <v>20043.900000000001</v>
      </c>
      <c r="G273" s="19">
        <v>0.99390000000000001</v>
      </c>
    </row>
    <row r="274" spans="1:7" x14ac:dyDescent="0.25">
      <c r="A274" s="11">
        <v>44805</v>
      </c>
      <c r="B274" s="15">
        <v>3585.62</v>
      </c>
      <c r="C274" s="20">
        <v>2.7380000000000002E-2</v>
      </c>
      <c r="D274" s="12">
        <v>1659.67</v>
      </c>
      <c r="E274" s="18">
        <v>296.34899999999999</v>
      </c>
      <c r="F274" s="12">
        <v>19423</v>
      </c>
      <c r="G274" s="19">
        <v>1.0201</v>
      </c>
    </row>
    <row r="275" spans="1:7" x14ac:dyDescent="0.25">
      <c r="A275" s="11">
        <v>44835</v>
      </c>
      <c r="B275" s="15">
        <v>3871.98</v>
      </c>
      <c r="C275" s="20">
        <v>3.6299999999999999E-2</v>
      </c>
      <c r="D275" s="12">
        <v>1633.12</v>
      </c>
      <c r="E275" s="18">
        <v>298.00700000000001</v>
      </c>
      <c r="F275" s="12">
        <v>20496.3</v>
      </c>
      <c r="G275" s="19">
        <v>1.0114000000000001</v>
      </c>
    </row>
    <row r="276" spans="1:7" x14ac:dyDescent="0.25">
      <c r="A276" s="11">
        <v>44866</v>
      </c>
      <c r="B276" s="15">
        <v>4080.11</v>
      </c>
      <c r="C276" s="20">
        <v>3.9599999999999996E-2</v>
      </c>
      <c r="D276" s="12">
        <v>1768.45</v>
      </c>
      <c r="E276" s="18">
        <v>298.786</v>
      </c>
      <c r="F276" s="12">
        <v>17163.900000000001</v>
      </c>
      <c r="G276" s="19">
        <v>0.9607</v>
      </c>
    </row>
    <row r="277" spans="1:7" x14ac:dyDescent="0.25">
      <c r="A277" s="11">
        <v>44896</v>
      </c>
      <c r="B277" s="15">
        <v>3839.5</v>
      </c>
      <c r="C277" s="20">
        <v>4.0039999999999992E-2</v>
      </c>
      <c r="D277" s="12">
        <v>1824.4</v>
      </c>
      <c r="E277" s="18">
        <v>298.83199999999999</v>
      </c>
      <c r="F277" s="12">
        <v>16537.400000000001</v>
      </c>
      <c r="G277" s="19">
        <v>0.93410000000000004</v>
      </c>
    </row>
    <row r="278" spans="1:7" x14ac:dyDescent="0.25">
      <c r="A278" s="11">
        <v>44927</v>
      </c>
      <c r="B278" s="15">
        <v>4076.6</v>
      </c>
      <c r="C278" s="20">
        <v>4.5240000000000002E-2</v>
      </c>
      <c r="D278" s="12">
        <v>1927.88</v>
      </c>
      <c r="E278" s="18">
        <v>300.42</v>
      </c>
      <c r="F278" s="12">
        <v>23125.1</v>
      </c>
      <c r="G278" s="19">
        <v>0.92049999999999998</v>
      </c>
    </row>
    <row r="279" spans="1:7" x14ac:dyDescent="0.25">
      <c r="A279" s="11">
        <v>44958</v>
      </c>
      <c r="B279" s="15">
        <v>3970.15</v>
      </c>
      <c r="C279" s="20">
        <v>4.5929999999999999E-2</v>
      </c>
      <c r="D279" s="12">
        <v>1827.15</v>
      </c>
      <c r="E279" s="18">
        <v>301.45</v>
      </c>
      <c r="F279" s="12">
        <v>23130.5</v>
      </c>
      <c r="G279" s="19">
        <v>0.94520000000000004</v>
      </c>
    </row>
    <row r="280" spans="1:7" x14ac:dyDescent="0.25">
      <c r="A280" s="11">
        <v>44986</v>
      </c>
      <c r="B280" s="15">
        <v>4109.3100000000004</v>
      </c>
      <c r="C280" s="20">
        <v>4.7039999999999998E-2</v>
      </c>
      <c r="D280" s="12">
        <v>1967.9</v>
      </c>
      <c r="E280" s="18">
        <v>301.82100000000003</v>
      </c>
      <c r="F280" s="12">
        <v>28473.7</v>
      </c>
      <c r="G280" s="19">
        <v>0.92230000000000001</v>
      </c>
    </row>
    <row r="281" spans="1:7" x14ac:dyDescent="0.25">
      <c r="A281" s="11">
        <v>45017</v>
      </c>
      <c r="B281" s="15">
        <v>4169.4799999999996</v>
      </c>
      <c r="C281" s="20">
        <v>4.3150000000000001E-2</v>
      </c>
      <c r="D281" s="12">
        <v>1989.65</v>
      </c>
      <c r="E281" s="18">
        <v>302.84500000000003</v>
      </c>
      <c r="F281" s="12">
        <v>29252.1</v>
      </c>
      <c r="G281" s="19">
        <v>0.90710000000000002</v>
      </c>
    </row>
    <row r="282" spans="1:7" x14ac:dyDescent="0.25">
      <c r="A282" s="11">
        <v>45047</v>
      </c>
      <c r="B282" s="15">
        <v>4179.83</v>
      </c>
      <c r="C282" s="20">
        <v>5.2069999999999998E-2</v>
      </c>
      <c r="D282" s="12">
        <v>1962.3</v>
      </c>
      <c r="E282" s="18">
        <v>303.334</v>
      </c>
      <c r="F282" s="12">
        <v>27216.1</v>
      </c>
      <c r="G282" s="19">
        <v>0.93530000000000002</v>
      </c>
    </row>
    <row r="283" spans="1:7" x14ac:dyDescent="0.25">
      <c r="A283" s="11">
        <v>45078</v>
      </c>
      <c r="B283" s="15">
        <v>4450.38</v>
      </c>
      <c r="C283" s="20">
        <v>5.1900000000000002E-2</v>
      </c>
      <c r="D283" s="12">
        <v>1919.57</v>
      </c>
      <c r="E283" s="18">
        <v>304.01400000000001</v>
      </c>
      <c r="F283" s="12">
        <v>30472.9</v>
      </c>
      <c r="G283" s="19">
        <v>0.9163</v>
      </c>
    </row>
    <row r="284" spans="1:7" x14ac:dyDescent="0.25">
      <c r="A284" s="11">
        <v>45108</v>
      </c>
      <c r="B284" s="15">
        <v>4588.96</v>
      </c>
      <c r="C284" s="20">
        <v>5.3699999999999998E-2</v>
      </c>
      <c r="D284" s="12">
        <v>1964.19</v>
      </c>
      <c r="E284" s="18">
        <v>304.60899999999998</v>
      </c>
      <c r="F284" s="12">
        <v>29232.400000000001</v>
      </c>
      <c r="G284" s="19">
        <v>0.9093</v>
      </c>
    </row>
    <row r="285" spans="1:7" x14ac:dyDescent="0.25">
      <c r="A285" s="11">
        <v>45139</v>
      </c>
      <c r="B285" s="15">
        <v>4507.66</v>
      </c>
      <c r="C285" s="20">
        <v>5.3929999999999999E-2</v>
      </c>
      <c r="D285" s="12">
        <v>1939.74</v>
      </c>
      <c r="E285" s="18">
        <v>306.08199999999999</v>
      </c>
      <c r="F285" s="12">
        <v>25937.3</v>
      </c>
      <c r="G285" s="19">
        <v>0.92210000000000003</v>
      </c>
    </row>
    <row r="286" spans="1:7" x14ac:dyDescent="0.25">
      <c r="A286" s="11">
        <v>45170</v>
      </c>
      <c r="B286" s="15">
        <v>4288.05</v>
      </c>
      <c r="C286" s="20">
        <v>5.3949999999999998E-2</v>
      </c>
      <c r="D286" s="12">
        <v>1848.31</v>
      </c>
      <c r="E286" s="18">
        <v>307.27600000000001</v>
      </c>
      <c r="F286" s="12">
        <v>26962.7</v>
      </c>
      <c r="G286" s="19">
        <v>0.94569999999999999</v>
      </c>
    </row>
    <row r="287" spans="1:7" x14ac:dyDescent="0.25">
      <c r="A287" s="11">
        <v>45200</v>
      </c>
      <c r="B287" s="15">
        <v>4193.8</v>
      </c>
      <c r="C287" s="20">
        <v>5.3940000000000002E-2</v>
      </c>
      <c r="D287" s="12">
        <v>1982.7</v>
      </c>
      <c r="E287" s="18">
        <v>307.69600000000003</v>
      </c>
      <c r="F287" s="12">
        <v>34650.6</v>
      </c>
      <c r="G287" s="19">
        <v>0.94520000000000004</v>
      </c>
    </row>
    <row r="288" spans="1:7" x14ac:dyDescent="0.25">
      <c r="A288" s="11">
        <v>45231</v>
      </c>
      <c r="B288" s="15">
        <v>4567.8</v>
      </c>
      <c r="C288" s="20">
        <v>5.3929999999999999E-2</v>
      </c>
      <c r="D288" s="12">
        <v>2035.75</v>
      </c>
      <c r="E288" s="18">
        <v>308.14800000000002</v>
      </c>
      <c r="F288" s="12">
        <v>37712.9</v>
      </c>
      <c r="G288" s="19">
        <v>0.91839999999999999</v>
      </c>
    </row>
    <row r="289" spans="1:7" x14ac:dyDescent="0.25">
      <c r="A289" s="11">
        <v>45261</v>
      </c>
      <c r="B289" s="15">
        <v>4769.83</v>
      </c>
      <c r="C289" s="20">
        <v>5.4059999999999997E-2</v>
      </c>
      <c r="D289" s="12">
        <v>2062.59</v>
      </c>
      <c r="E289" s="18">
        <v>308.74099999999999</v>
      </c>
      <c r="F289" s="12">
        <v>42272.5</v>
      </c>
      <c r="G289" s="19">
        <v>0.90600000000000003</v>
      </c>
    </row>
    <row r="290" spans="1:7" x14ac:dyDescent="0.25">
      <c r="A290" s="11">
        <v>45292</v>
      </c>
      <c r="B290" s="15">
        <v>4845.6499999999996</v>
      </c>
      <c r="C290" s="20">
        <v>5.3780000000000001E-2</v>
      </c>
      <c r="D290" s="12">
        <v>2037.19</v>
      </c>
      <c r="E290" s="18">
        <v>309.69799999999998</v>
      </c>
      <c r="F290" s="12">
        <v>42580.5</v>
      </c>
      <c r="G290" s="19">
        <v>0.92420000000000002</v>
      </c>
    </row>
    <row r="291" spans="1:7" x14ac:dyDescent="0.25">
      <c r="A291" s="11">
        <v>45323</v>
      </c>
      <c r="B291" s="15">
        <v>5096.2700000000004</v>
      </c>
      <c r="C291" s="20">
        <v>5.398E-2</v>
      </c>
      <c r="D291" s="12">
        <v>2043.24</v>
      </c>
      <c r="E291" s="18">
        <v>310.96699999999998</v>
      </c>
      <c r="F291" s="12">
        <v>61169.3</v>
      </c>
      <c r="G291" s="19">
        <v>0.92530000000000001</v>
      </c>
    </row>
    <row r="292" spans="1:7" x14ac:dyDescent="0.25">
      <c r="A292" s="11">
        <v>45352</v>
      </c>
      <c r="B292" s="15">
        <v>5254.35</v>
      </c>
      <c r="C292" s="20">
        <v>5.3680000000000005E-2</v>
      </c>
      <c r="D292" s="12">
        <v>2232.38</v>
      </c>
      <c r="E292" s="18">
        <v>312.34500000000003</v>
      </c>
      <c r="F292" s="12">
        <v>71332</v>
      </c>
      <c r="G292" s="19">
        <v>0.9264</v>
      </c>
    </row>
    <row r="293" spans="1:7" x14ac:dyDescent="0.25">
      <c r="A293" s="11">
        <v>45383</v>
      </c>
      <c r="B293" s="15">
        <v>5035.6899999999996</v>
      </c>
      <c r="C293" s="20">
        <v>5.364E-2</v>
      </c>
      <c r="D293" s="12">
        <v>2285.5700000000002</v>
      </c>
      <c r="E293" s="18">
        <v>313.02300000000002</v>
      </c>
      <c r="F293" s="12">
        <v>60666.6</v>
      </c>
      <c r="G293" s="19">
        <v>0.93740000000000001</v>
      </c>
    </row>
    <row r="294" spans="1:7" x14ac:dyDescent="0.25">
      <c r="A294" s="11">
        <v>45413</v>
      </c>
      <c r="B294" s="15">
        <v>5277.51</v>
      </c>
      <c r="C294" s="20">
        <v>5.3680000000000005E-2</v>
      </c>
      <c r="D294" s="12">
        <v>2326.9699999999998</v>
      </c>
      <c r="E294" s="18">
        <v>313.17500000000001</v>
      </c>
      <c r="F294" s="12">
        <v>67530.100000000006</v>
      </c>
      <c r="G294" s="19">
        <v>0.92210000000000003</v>
      </c>
    </row>
    <row r="295" spans="1:7" x14ac:dyDescent="0.25">
      <c r="A295" s="11">
        <v>45444</v>
      </c>
      <c r="B295" s="15">
        <v>5460.48</v>
      </c>
      <c r="C295" s="20">
        <v>5.3650000000000003E-2</v>
      </c>
      <c r="D295" s="12">
        <v>2325.71</v>
      </c>
      <c r="E295" s="18">
        <v>313.04399999999998</v>
      </c>
      <c r="F295" s="12">
        <v>62754.3</v>
      </c>
      <c r="G295" s="19">
        <v>0.93310000000000004</v>
      </c>
    </row>
    <row r="296" spans="1:7" x14ac:dyDescent="0.25">
      <c r="A296" s="11">
        <v>45474</v>
      </c>
      <c r="B296" s="15">
        <v>5522.3</v>
      </c>
      <c r="C296" s="20">
        <v>5.3760000000000002E-2</v>
      </c>
      <c r="D296" s="12">
        <v>2448.1</v>
      </c>
      <c r="E296" s="18">
        <v>313.56900000000002</v>
      </c>
      <c r="F296" s="12">
        <v>64626</v>
      </c>
      <c r="G296" s="19">
        <v>0.92369999999999997</v>
      </c>
    </row>
    <row r="297" spans="1:7" x14ac:dyDescent="0.25">
      <c r="A297" s="11">
        <v>45505</v>
      </c>
      <c r="B297" s="15">
        <v>5648.4</v>
      </c>
      <c r="C297" s="20">
        <v>5.271E-2</v>
      </c>
      <c r="D297" s="12">
        <v>2503.0300000000002</v>
      </c>
      <c r="E297" s="18">
        <v>314.06200000000001</v>
      </c>
      <c r="F297" s="12">
        <v>58978.6</v>
      </c>
      <c r="G297" s="19">
        <v>0.90510000000000002</v>
      </c>
    </row>
    <row r="298" spans="1:7" x14ac:dyDescent="0.25">
      <c r="A298" s="11">
        <v>45536</v>
      </c>
      <c r="B298" s="15">
        <v>5762.48</v>
      </c>
      <c r="C298" s="20">
        <v>4.8160000000000001E-2</v>
      </c>
      <c r="D298" s="12">
        <v>2634.49</v>
      </c>
      <c r="E298" s="18">
        <v>314.73200000000003</v>
      </c>
      <c r="F298" s="12">
        <v>63339.199999999997</v>
      </c>
      <c r="G298" s="19">
        <v>0.89810000000000001</v>
      </c>
    </row>
    <row r="299" spans="1:7" x14ac:dyDescent="0.25">
      <c r="A299" s="11">
        <v>45566</v>
      </c>
      <c r="B299" s="15">
        <v>5705.45</v>
      </c>
      <c r="C299" s="20">
        <v>4.6689999999999995E-2</v>
      </c>
      <c r="D299" s="12">
        <v>2743.8</v>
      </c>
      <c r="E299" s="18">
        <v>315.63099999999997</v>
      </c>
      <c r="F299" s="12">
        <v>70281.8</v>
      </c>
      <c r="G299" s="19">
        <v>0.91879999999999995</v>
      </c>
    </row>
    <row r="300" spans="1:7" x14ac:dyDescent="0.25">
      <c r="A300" s="11">
        <v>45597</v>
      </c>
      <c r="B300" s="15">
        <v>6032.38</v>
      </c>
      <c r="C300" s="20">
        <v>4.6199999999999998E-2</v>
      </c>
      <c r="D300" s="12">
        <v>2653.55</v>
      </c>
      <c r="E300" s="18">
        <v>316.52800000000002</v>
      </c>
      <c r="F300" s="12">
        <v>96405.7</v>
      </c>
      <c r="G300" s="19">
        <v>0.94540000000000002</v>
      </c>
    </row>
    <row r="301" spans="1:7" x14ac:dyDescent="0.25">
      <c r="A301" s="11">
        <v>45627</v>
      </c>
      <c r="B301" s="15">
        <v>5881.63</v>
      </c>
      <c r="C301" s="20">
        <v>4.2790000000000002E-2</v>
      </c>
      <c r="D301" s="12">
        <v>2623.81</v>
      </c>
      <c r="E301" s="18">
        <v>317.60399999999998</v>
      </c>
      <c r="F301" s="12">
        <v>93557.2</v>
      </c>
      <c r="G301" s="19">
        <v>0.96579999999999999</v>
      </c>
    </row>
    <row r="302" spans="1:7" x14ac:dyDescent="0.25">
      <c r="A302" s="11">
        <v>45658</v>
      </c>
      <c r="B302" s="15">
        <v>6040.53</v>
      </c>
      <c r="C302" s="20">
        <v>4.3240000000000001E-2</v>
      </c>
      <c r="D302" s="12">
        <v>2801.18</v>
      </c>
      <c r="E302" s="18">
        <v>318.96100000000001</v>
      </c>
      <c r="F302" s="12">
        <v>94536.1</v>
      </c>
      <c r="G302" s="19">
        <v>0.96499999999999997</v>
      </c>
    </row>
    <row r="303" spans="1:7" x14ac:dyDescent="0.25">
      <c r="A303" s="11">
        <v>45689</v>
      </c>
      <c r="B303" s="15">
        <v>5954.5</v>
      </c>
      <c r="C303" s="20">
        <v>4.3070000000000004E-2</v>
      </c>
      <c r="D303" s="12">
        <v>2858.77</v>
      </c>
      <c r="E303" s="18">
        <v>319.67899999999997</v>
      </c>
      <c r="F303" s="12">
        <v>84381.2</v>
      </c>
      <c r="G303" s="19">
        <v>0.96379999999999999</v>
      </c>
    </row>
    <row r="304" spans="1:7" x14ac:dyDescent="0.25">
      <c r="A304" s="11">
        <v>45717</v>
      </c>
      <c r="B304" s="15">
        <v>5611.85</v>
      </c>
      <c r="C304" s="20">
        <v>4.3040000000000002E-2</v>
      </c>
      <c r="D304" s="12">
        <v>3123.35</v>
      </c>
      <c r="E304" s="18">
        <v>319.78500000000003</v>
      </c>
      <c r="F304" s="12">
        <v>82548.800000000003</v>
      </c>
      <c r="G304" s="19">
        <v>0.92449999999999999</v>
      </c>
    </row>
    <row r="305" spans="1:7" x14ac:dyDescent="0.25">
      <c r="A305" s="11">
        <v>45748</v>
      </c>
      <c r="B305" s="15">
        <v>5569.06</v>
      </c>
      <c r="C305" s="20">
        <v>4.3040000000000002E-2</v>
      </c>
      <c r="D305" s="12">
        <v>3288.59</v>
      </c>
      <c r="E305" s="18">
        <v>320.30200000000002</v>
      </c>
      <c r="F305" s="12">
        <v>94184.4</v>
      </c>
      <c r="G305" s="19">
        <v>0.88270000000000004</v>
      </c>
    </row>
    <row r="306" spans="1:7" x14ac:dyDescent="0.25">
      <c r="A306" s="11">
        <v>45778</v>
      </c>
      <c r="B306" s="15">
        <v>5911.69</v>
      </c>
      <c r="C306" s="20">
        <v>4.2900000000000001E-2</v>
      </c>
      <c r="D306" s="12">
        <v>3289.4</v>
      </c>
      <c r="E306" s="18">
        <v>320.62</v>
      </c>
      <c r="F306" s="12">
        <v>104598</v>
      </c>
      <c r="G306" s="19">
        <v>0.88119999999999998</v>
      </c>
    </row>
    <row r="307" spans="1:7" x14ac:dyDescent="0.25">
      <c r="A307" s="11">
        <v>45809</v>
      </c>
      <c r="B307" s="15">
        <v>6204.95</v>
      </c>
      <c r="C307" s="20">
        <v>4.231E-2</v>
      </c>
      <c r="D307" s="12">
        <v>3303.69</v>
      </c>
      <c r="E307" s="18">
        <v>321.435</v>
      </c>
      <c r="F307" s="12">
        <v>107171.1</v>
      </c>
      <c r="G307" s="19">
        <v>0.84840000000000004</v>
      </c>
    </row>
    <row r="308" spans="1:7" x14ac:dyDescent="0.25">
      <c r="A308" s="11">
        <v>45839</v>
      </c>
      <c r="B308" s="15">
        <v>6339.39</v>
      </c>
      <c r="C308" s="20">
        <v>4.3630000000000002E-2</v>
      </c>
      <c r="D308" s="12">
        <v>3290.32</v>
      </c>
      <c r="E308" s="18">
        <v>322.16899999999998</v>
      </c>
      <c r="F308" s="12">
        <v>115765</v>
      </c>
      <c r="G308" s="19">
        <v>0.876</v>
      </c>
    </row>
    <row r="309" spans="1:7" x14ac:dyDescent="0.25">
      <c r="A309" s="11">
        <v>45870</v>
      </c>
      <c r="B309" s="15">
        <v>6460.26</v>
      </c>
      <c r="C309" s="20">
        <v>4.3179999999999996E-2</v>
      </c>
      <c r="D309" s="12">
        <v>3448</v>
      </c>
      <c r="E309" s="18">
        <v>323.291</v>
      </c>
      <c r="F309" s="12">
        <v>108226.8</v>
      </c>
      <c r="G309" s="19">
        <v>0.85580000000000001</v>
      </c>
    </row>
    <row r="310" spans="1:7" x14ac:dyDescent="0.25">
      <c r="A310" s="11">
        <v>45901</v>
      </c>
      <c r="B310" s="15">
        <v>6688.46</v>
      </c>
      <c r="C310" s="20">
        <v>4.1159999999999995E-2</v>
      </c>
      <c r="D310" s="12">
        <v>3858.51</v>
      </c>
      <c r="E310" s="18">
        <v>324.245</v>
      </c>
      <c r="F310" s="12">
        <v>114048.5</v>
      </c>
      <c r="G310" s="19">
        <v>0.85229999999999995</v>
      </c>
    </row>
    <row r="311" spans="1:7" x14ac:dyDescent="0.25">
      <c r="A311" s="11">
        <v>45931</v>
      </c>
      <c r="B311" s="15">
        <v>6840.2</v>
      </c>
      <c r="C311" s="20">
        <v>3.9809999999999998E-2</v>
      </c>
      <c r="D311" s="12">
        <v>4002.28</v>
      </c>
      <c r="E311" s="18"/>
      <c r="F311" s="12">
        <v>109602.8</v>
      </c>
      <c r="G311" s="19">
        <v>0.8669</v>
      </c>
    </row>
    <row r="312" spans="1:7" x14ac:dyDescent="0.25">
      <c r="A312" s="11">
        <v>45962</v>
      </c>
      <c r="B312" s="15">
        <v>6849.09</v>
      </c>
      <c r="C312" s="20">
        <v>3.9710000000000002E-2</v>
      </c>
      <c r="D312" s="12">
        <v>4230.63</v>
      </c>
      <c r="E312" s="18">
        <v>325.06299999999999</v>
      </c>
      <c r="F312" s="12">
        <v>90374.2</v>
      </c>
      <c r="G312" s="19">
        <v>0.86240000000000006</v>
      </c>
    </row>
    <row r="313" spans="1:7" x14ac:dyDescent="0.25">
      <c r="A313" s="11">
        <v>45992</v>
      </c>
      <c r="B313" s="15">
        <v>6845.5</v>
      </c>
      <c r="C313" s="20">
        <v>3.5900000000000001E-2</v>
      </c>
      <c r="D313" s="12">
        <v>4315.09</v>
      </c>
      <c r="E313" s="18">
        <v>326.03100000000001</v>
      </c>
      <c r="F313" s="12">
        <v>87612.7</v>
      </c>
      <c r="G313" s="19">
        <v>0.85140000000000005</v>
      </c>
    </row>
    <row r="314" spans="1:7" x14ac:dyDescent="0.25">
      <c r="A314" s="11">
        <v>46023</v>
      </c>
      <c r="B314" s="15">
        <v>6939.03</v>
      </c>
      <c r="C314" s="20">
        <v>3.6909999999999998E-2</v>
      </c>
      <c r="D314" s="12">
        <v>4865.3500000000004</v>
      </c>
      <c r="E314" s="18">
        <v>326.58800000000002</v>
      </c>
      <c r="F314" s="12">
        <v>78726.5</v>
      </c>
      <c r="G314" s="19">
        <v>0.84389999999999998</v>
      </c>
    </row>
    <row r="315" spans="1:7" x14ac:dyDescent="0.25">
      <c r="A315" s="11">
        <v>46054</v>
      </c>
      <c r="B315" s="15">
        <v>6878.88</v>
      </c>
      <c r="C315" s="20">
        <v>3.6880000000000003E-2</v>
      </c>
      <c r="D315" s="12">
        <v>5277.9</v>
      </c>
      <c r="E315" s="18">
        <v>327.45999999999998</v>
      </c>
      <c r="F315" s="12">
        <v>66995</v>
      </c>
      <c r="G315" s="19">
        <v>0.84650000000000003</v>
      </c>
    </row>
    <row r="316" spans="1:7" x14ac:dyDescent="0.25">
      <c r="A316" s="11">
        <v>46082</v>
      </c>
      <c r="B316" s="15">
        <v>6528.52</v>
      </c>
      <c r="C316" s="20">
        <v>3.6979999999999999E-2</v>
      </c>
      <c r="D316" s="12">
        <v>4672.01</v>
      </c>
      <c r="E316" s="18">
        <v>330.29300000000001</v>
      </c>
      <c r="F316" s="12">
        <v>68268.3</v>
      </c>
      <c r="G316" s="19">
        <v>0.86560000000000004</v>
      </c>
    </row>
    <row r="317" spans="1:7" x14ac:dyDescent="0.25">
      <c r="A317" s="11">
        <v>46113</v>
      </c>
      <c r="B317" s="15">
        <v>7209.01</v>
      </c>
      <c r="C317" s="20">
        <v>3.644E-2</v>
      </c>
      <c r="D317" s="12">
        <v>4622.59</v>
      </c>
      <c r="E317" s="18">
        <v>332.40699999999998</v>
      </c>
      <c r="F317" s="12">
        <v>76316.600000000006</v>
      </c>
      <c r="G317" s="19">
        <v>0.85240000000000005</v>
      </c>
    </row>
    <row r="318" spans="1:7" x14ac:dyDescent="0.25">
      <c r="A318" s="11">
        <v>46143</v>
      </c>
      <c r="B318" s="15">
        <v>7580.06</v>
      </c>
      <c r="C318" s="20">
        <v>3.6909999999999998E-2</v>
      </c>
      <c r="D318" s="12">
        <v>4539.2700000000004</v>
      </c>
      <c r="E318" s="18">
        <v>333.97899999999998</v>
      </c>
      <c r="F318" s="12">
        <v>73658.899999999994</v>
      </c>
      <c r="G318" s="19">
        <v>0.85770000000000002</v>
      </c>
    </row>
    <row r="319" spans="1:7" x14ac:dyDescent="0.25">
      <c r="A319" s="11">
        <v>46174</v>
      </c>
      <c r="B319" s="15">
        <v>7499.36</v>
      </c>
      <c r="C319" s="20">
        <v>3.6850000000000001E-2</v>
      </c>
      <c r="D319" s="12">
        <v>4008.48</v>
      </c>
      <c r="E319" s="18">
        <v>332.56799999999998</v>
      </c>
      <c r="F319" s="12">
        <v>58630.8</v>
      </c>
      <c r="G319" s="19">
        <v>0.87560000000000004</v>
      </c>
    </row>
    <row r="320" spans="1:7" x14ac:dyDescent="0.25">
      <c r="A320" s="11">
        <v>46204</v>
      </c>
      <c r="B320" s="15">
        <v>7489.72</v>
      </c>
      <c r="C320" s="20">
        <v>3.6909999999999998E-2</v>
      </c>
      <c r="D320" s="12">
        <v>4042.67</v>
      </c>
      <c r="E320" s="18">
        <v>332.81299999999999</v>
      </c>
      <c r="F320" s="12">
        <v>62875.5</v>
      </c>
      <c r="G320" s="19">
        <v>0.86750000000000005</v>
      </c>
    </row>
    <row r="321" spans="1:7" x14ac:dyDescent="0.25">
      <c r="A321" s="11">
        <v>46235</v>
      </c>
      <c r="B321" s="15">
        <v>7686.14</v>
      </c>
      <c r="C321" s="20">
        <v>3.755E-2</v>
      </c>
      <c r="D321" s="12">
        <v>4448.92</v>
      </c>
      <c r="E321" s="18">
        <v>334.13099999999997</v>
      </c>
      <c r="F321" s="12">
        <v>78570.3</v>
      </c>
      <c r="G321" s="19">
        <v>0.86080000000000001</v>
      </c>
    </row>
    <row r="322" spans="1:7" x14ac:dyDescent="0.25">
      <c r="A322" s="11">
        <v>46266</v>
      </c>
      <c r="B322" s="15">
        <v>7700.87</v>
      </c>
      <c r="C322" s="20">
        <v>3.9689999999999996E-2</v>
      </c>
      <c r="D322" s="12">
        <v>4283.7299999999996</v>
      </c>
      <c r="E322" s="20"/>
      <c r="F322" s="12">
        <v>83910.399999999994</v>
      </c>
      <c r="G322" s="19">
        <v>0.87870000000000004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1ADC8-104A-4265-ADE1-1EACB498E95F}">
  <dimension ref="A1:H190"/>
  <sheetViews>
    <sheetView zoomScaleNormal="100" workbookViewId="0">
      <selection activeCell="A2" sqref="A2"/>
    </sheetView>
  </sheetViews>
  <sheetFormatPr defaultColWidth="8.85546875" defaultRowHeight="15" x14ac:dyDescent="0.25"/>
  <cols>
    <col min="1" max="3" width="14.28515625" style="10" customWidth="1"/>
    <col min="4" max="5" width="9.140625" style="4" customWidth="1"/>
    <col min="6" max="7" width="17.85546875" style="3" customWidth="1"/>
    <col min="8" max="8" width="17" style="30" customWidth="1"/>
    <col min="9" max="9" width="17" style="10" customWidth="1"/>
    <col min="10" max="16384" width="8.85546875" style="10"/>
  </cols>
  <sheetData>
    <row r="1" spans="1:8" x14ac:dyDescent="0.25">
      <c r="A1" s="5" t="s">
        <v>0</v>
      </c>
      <c r="B1" s="6" t="s">
        <v>3</v>
      </c>
      <c r="C1" s="6" t="s">
        <v>6</v>
      </c>
      <c r="D1" s="7" t="s">
        <v>7</v>
      </c>
      <c r="E1" s="7" t="s">
        <v>8</v>
      </c>
      <c r="F1" s="8" t="s">
        <v>9</v>
      </c>
      <c r="G1" s="9" t="s">
        <v>10</v>
      </c>
      <c r="H1" s="29" t="s">
        <v>45</v>
      </c>
    </row>
    <row r="2" spans="1:8" x14ac:dyDescent="0.25">
      <c r="A2" s="11">
        <v>40544</v>
      </c>
      <c r="B2" s="12">
        <v>1332.19</v>
      </c>
      <c r="C2" s="12">
        <v>0.5</v>
      </c>
      <c r="D2" s="13">
        <f>YEAR(Tabela13[[#This Row],[Datum]])</f>
        <v>2011</v>
      </c>
      <c r="E2" s="13">
        <f>MONTH(Tabela13[[#This Row],[Datum]])</f>
        <v>1</v>
      </c>
      <c r="F2" s="14">
        <f>(B3-Tabela13[[#This Row],[Zlato]])/Tabela13[[#This Row],[Zlato]]</f>
        <v>5.9646146570684386E-2</v>
      </c>
      <c r="G2" s="14">
        <f>(C3-Tabela13[[#This Row],[Kriptovalute]])/Tabela13[[#This Row],[Kriptovalute]]</f>
        <v>0.8</v>
      </c>
      <c r="H2" s="31"/>
    </row>
    <row r="3" spans="1:8" x14ac:dyDescent="0.25">
      <c r="A3" s="11">
        <v>40575</v>
      </c>
      <c r="B3" s="12">
        <v>1411.65</v>
      </c>
      <c r="C3" s="12">
        <v>0.9</v>
      </c>
      <c r="D3" s="13">
        <f>YEAR(Tabela13[[#This Row],[Datum]])</f>
        <v>2011</v>
      </c>
      <c r="E3" s="13">
        <f>MONTH(Tabela13[[#This Row],[Datum]])</f>
        <v>2</v>
      </c>
      <c r="F3" s="14">
        <f>(B4-Tabela13[[#This Row],[Zlato]])/Tabela13[[#This Row],[Zlato]]</f>
        <v>1.4415754613395606E-2</v>
      </c>
      <c r="G3" s="14">
        <f>(C4-Tabela13[[#This Row],[Kriptovalute]])/Tabela13[[#This Row],[Kriptovalute]]</f>
        <v>-0.11111111111111108</v>
      </c>
      <c r="H3" s="31"/>
    </row>
    <row r="4" spans="1:8" x14ac:dyDescent="0.25">
      <c r="A4" s="11">
        <v>40603</v>
      </c>
      <c r="B4" s="12">
        <v>1432</v>
      </c>
      <c r="C4" s="12">
        <v>0.8</v>
      </c>
      <c r="D4" s="13">
        <f>YEAR(Tabela13[[#This Row],[Datum]])</f>
        <v>2011</v>
      </c>
      <c r="E4" s="13">
        <f>MONTH(Tabela13[[#This Row],[Datum]])</f>
        <v>3</v>
      </c>
      <c r="F4" s="14">
        <f>(B5-Tabela13[[#This Row],[Zlato]])/Tabela13[[#This Row],[Zlato]]</f>
        <v>9.3296089385474804E-2</v>
      </c>
      <c r="G4" s="14">
        <f>(C5-Tabela13[[#This Row],[Kriptovalute]])/Tabela13[[#This Row],[Kriptovalute]]</f>
        <v>3.375</v>
      </c>
      <c r="H4" s="31"/>
    </row>
    <row r="5" spans="1:8" x14ac:dyDescent="0.25">
      <c r="A5" s="11">
        <v>40634</v>
      </c>
      <c r="B5" s="12">
        <v>1565.6</v>
      </c>
      <c r="C5" s="12">
        <v>3.5</v>
      </c>
      <c r="D5" s="13">
        <f>YEAR(Tabela13[[#This Row],[Datum]])</f>
        <v>2011</v>
      </c>
      <c r="E5" s="13">
        <f>MONTH(Tabela13[[#This Row],[Datum]])</f>
        <v>4</v>
      </c>
      <c r="F5" s="14">
        <f>(B6-Tabela13[[#This Row],[Zlato]])/Tabela13[[#This Row],[Zlato]]</f>
        <v>-1.9321665815022995E-2</v>
      </c>
      <c r="G5" s="14">
        <f>(C6-Tabela13[[#This Row],[Kriptovalute]])/Tabela13[[#This Row],[Kriptovalute]]</f>
        <v>1.4857142857142855</v>
      </c>
      <c r="H5" s="31"/>
    </row>
    <row r="6" spans="1:8" x14ac:dyDescent="0.25">
      <c r="A6" s="11">
        <v>40664</v>
      </c>
      <c r="B6" s="12">
        <v>1535.35</v>
      </c>
      <c r="C6" s="12">
        <v>8.6999999999999993</v>
      </c>
      <c r="D6" s="13">
        <f>YEAR(Tabela13[[#This Row],[Datum]])</f>
        <v>2011</v>
      </c>
      <c r="E6" s="13">
        <f>MONTH(Tabela13[[#This Row],[Datum]])</f>
        <v>5</v>
      </c>
      <c r="F6" s="14">
        <f>(B7-Tabela13[[#This Row],[Zlato]])/Tabela13[[#This Row],[Zlato]]</f>
        <v>-2.2958934444914841E-2</v>
      </c>
      <c r="G6" s="14">
        <f>(C7-Tabela13[[#This Row],[Kriptovalute]])/Tabela13[[#This Row],[Kriptovalute]]</f>
        <v>0.85057471264367845</v>
      </c>
      <c r="H6" s="31"/>
    </row>
    <row r="7" spans="1:8" x14ac:dyDescent="0.25">
      <c r="A7" s="11">
        <v>40695</v>
      </c>
      <c r="B7" s="12">
        <v>1500.1</v>
      </c>
      <c r="C7" s="12">
        <v>16.100000000000001</v>
      </c>
      <c r="D7" s="13">
        <f>YEAR(Tabela13[[#This Row],[Datum]])</f>
        <v>2011</v>
      </c>
      <c r="E7" s="13">
        <f>MONTH(Tabela13[[#This Row],[Datum]])</f>
        <v>6</v>
      </c>
      <c r="F7" s="14">
        <f>(B8-Tabela13[[#This Row],[Zlato]])/Tabela13[[#This Row],[Zlato]]</f>
        <v>8.4354376374908474E-2</v>
      </c>
      <c r="G7" s="14">
        <f>(C8-Tabela13[[#This Row],[Kriptovalute]])/Tabela13[[#This Row],[Kriptovalute]]</f>
        <v>-0.16770186335403731</v>
      </c>
      <c r="H7" s="31"/>
    </row>
    <row r="8" spans="1:8" x14ac:dyDescent="0.25">
      <c r="A8" s="11">
        <v>40725</v>
      </c>
      <c r="B8" s="12">
        <v>1626.64</v>
      </c>
      <c r="C8" s="12">
        <v>13.4</v>
      </c>
      <c r="D8" s="13">
        <f>YEAR(Tabela13[[#This Row],[Datum]])</f>
        <v>2011</v>
      </c>
      <c r="E8" s="13">
        <f>MONTH(Tabela13[[#This Row],[Datum]])</f>
        <v>7</v>
      </c>
      <c r="F8" s="14">
        <f>(B9-Tabela13[[#This Row],[Zlato]])/Tabela13[[#This Row],[Zlato]]</f>
        <v>0.12120690503122993</v>
      </c>
      <c r="G8" s="14">
        <f>(C9-Tabela13[[#This Row],[Kriptovalute]])/Tabela13[[#This Row],[Kriptovalute]]</f>
        <v>-0.38805970149253738</v>
      </c>
      <c r="H8" s="31"/>
    </row>
    <row r="9" spans="1:8" x14ac:dyDescent="0.25">
      <c r="A9" s="11">
        <v>40756</v>
      </c>
      <c r="B9" s="12">
        <v>1823.8</v>
      </c>
      <c r="C9" s="12">
        <v>8.1999999999999993</v>
      </c>
      <c r="D9" s="13">
        <f>YEAR(Tabela13[[#This Row],[Datum]])</f>
        <v>2011</v>
      </c>
      <c r="E9" s="13">
        <f>MONTH(Tabela13[[#This Row],[Datum]])</f>
        <v>8</v>
      </c>
      <c r="F9" s="14">
        <f>(B10-Tabela13[[#This Row],[Zlato]])/Tabela13[[#This Row],[Zlato]]</f>
        <v>-0.10968856234236207</v>
      </c>
      <c r="G9" s="14">
        <f>(C10-Tabela13[[#This Row],[Kriptovalute]])/Tabela13[[#This Row],[Kriptovalute]]</f>
        <v>-0.37804878048780488</v>
      </c>
      <c r="H9" s="31"/>
    </row>
    <row r="10" spans="1:8" x14ac:dyDescent="0.25">
      <c r="A10" s="11">
        <v>40787</v>
      </c>
      <c r="B10" s="12">
        <v>1623.75</v>
      </c>
      <c r="C10" s="12">
        <v>5.0999999999999996</v>
      </c>
      <c r="D10" s="13">
        <f>YEAR(Tabela13[[#This Row],[Datum]])</f>
        <v>2011</v>
      </c>
      <c r="E10" s="13">
        <f>MONTH(Tabela13[[#This Row],[Datum]])</f>
        <v>9</v>
      </c>
      <c r="F10" s="14">
        <f>(B11-Tabela13[[#This Row],[Zlato]])/Tabela13[[#This Row],[Zlato]]</f>
        <v>5.635103926096998E-2</v>
      </c>
      <c r="G10" s="14">
        <f>(C11-Tabela13[[#This Row],[Kriptovalute]])/Tabela13[[#This Row],[Kriptovalute]]</f>
        <v>-0.3529411764705882</v>
      </c>
      <c r="H10" s="31"/>
    </row>
    <row r="11" spans="1:8" x14ac:dyDescent="0.25">
      <c r="A11" s="11">
        <v>40817</v>
      </c>
      <c r="B11" s="12">
        <v>1715.25</v>
      </c>
      <c r="C11" s="12">
        <v>3.3</v>
      </c>
      <c r="D11" s="13">
        <f>YEAR(Tabela13[[#This Row],[Datum]])</f>
        <v>2011</v>
      </c>
      <c r="E11" s="13">
        <f>MONTH(Tabela13[[#This Row],[Datum]])</f>
        <v>10</v>
      </c>
      <c r="F11" s="14">
        <f>(B12-Tabela13[[#This Row],[Zlato]])/Tabela13[[#This Row],[Zlato]]</f>
        <v>1.7752514210756475E-2</v>
      </c>
      <c r="G11" s="14">
        <f>(C12-Tabela13[[#This Row],[Kriptovalute]])/Tabela13[[#This Row],[Kriptovalute]]</f>
        <v>-9.0909090909090856E-2</v>
      </c>
      <c r="H11" s="31"/>
    </row>
    <row r="12" spans="1:8" x14ac:dyDescent="0.25">
      <c r="A12" s="11">
        <v>40848</v>
      </c>
      <c r="B12" s="12">
        <v>1745.7</v>
      </c>
      <c r="C12" s="12">
        <v>3</v>
      </c>
      <c r="D12" s="13">
        <f>YEAR(Tabela13[[#This Row],[Datum]])</f>
        <v>2011</v>
      </c>
      <c r="E12" s="13">
        <f>MONTH(Tabela13[[#This Row],[Datum]])</f>
        <v>11</v>
      </c>
      <c r="F12" s="14">
        <f>(B13-Tabela13[[#This Row],[Zlato]])/Tabela13[[#This Row],[Zlato]]</f>
        <v>-0.10391247064214933</v>
      </c>
      <c r="G12" s="14">
        <f>(C13-Tabela13[[#This Row],[Kriptovalute]])/Tabela13[[#This Row],[Kriptovalute]]</f>
        <v>0.56666666666666676</v>
      </c>
      <c r="H12" s="31"/>
    </row>
    <row r="13" spans="1:8" x14ac:dyDescent="0.25">
      <c r="A13" s="11">
        <v>40878</v>
      </c>
      <c r="B13" s="12">
        <v>1564.3</v>
      </c>
      <c r="C13" s="12">
        <v>4.7</v>
      </c>
      <c r="D13" s="13">
        <f>YEAR(Tabela13[[#This Row],[Datum]])</f>
        <v>2011</v>
      </c>
      <c r="E13" s="13">
        <f>MONTH(Tabela13[[#This Row],[Datum]])</f>
        <v>12</v>
      </c>
      <c r="F13" s="14">
        <f>(B14-Tabela13[[#This Row],[Zlato]])/Tabela13[[#This Row],[Zlato]]</f>
        <v>0.11195422872850483</v>
      </c>
      <c r="G13" s="14">
        <f>(C14-Tabela13[[#This Row],[Kriptovalute]])/Tabela13[[#This Row],[Kriptovalute]]</f>
        <v>0.17021276595744678</v>
      </c>
      <c r="H13" s="31"/>
    </row>
    <row r="14" spans="1:8" x14ac:dyDescent="0.25">
      <c r="A14" s="11">
        <v>40909</v>
      </c>
      <c r="B14" s="12">
        <v>1739.43</v>
      </c>
      <c r="C14" s="12">
        <v>5.5</v>
      </c>
      <c r="D14" s="13">
        <f>YEAR(Tabela13[[#This Row],[Datum]])</f>
        <v>2012</v>
      </c>
      <c r="E14" s="13">
        <f>MONTH(Tabela13[[#This Row],[Datum]])</f>
        <v>1</v>
      </c>
      <c r="F14" s="14">
        <f>(B15-Tabela13[[#This Row],[Zlato]])/Tabela13[[#This Row],[Zlato]]</f>
        <v>-2.5427870049384002E-2</v>
      </c>
      <c r="G14" s="14">
        <f>(C15-Tabela13[[#This Row],[Kriptovalute]])/Tabela13[[#This Row],[Kriptovalute]]</f>
        <v>-0.10909090909090903</v>
      </c>
      <c r="H14" s="31"/>
    </row>
    <row r="15" spans="1:8" x14ac:dyDescent="0.25">
      <c r="A15" s="11">
        <v>40940</v>
      </c>
      <c r="B15" s="12">
        <v>1695.2</v>
      </c>
      <c r="C15" s="12">
        <v>4.9000000000000004</v>
      </c>
      <c r="D15" s="13">
        <f>YEAR(Tabela13[[#This Row],[Datum]])</f>
        <v>2012</v>
      </c>
      <c r="E15" s="13">
        <f>MONTH(Tabela13[[#This Row],[Datum]])</f>
        <v>2</v>
      </c>
      <c r="F15" s="14">
        <f>(B16-Tabela13[[#This Row],[Zlato]])/Tabela13[[#This Row],[Zlato]]</f>
        <v>-1.5514393581878217E-2</v>
      </c>
      <c r="G15" s="14">
        <f>(C16-Tabela13[[#This Row],[Kriptovalute]])/Tabela13[[#This Row],[Kriptovalute]]</f>
        <v>0</v>
      </c>
      <c r="H15" s="31"/>
    </row>
    <row r="16" spans="1:8" x14ac:dyDescent="0.25">
      <c r="A16" s="11">
        <v>40969</v>
      </c>
      <c r="B16" s="12">
        <v>1668.9</v>
      </c>
      <c r="C16" s="12">
        <v>4.9000000000000004</v>
      </c>
      <c r="D16" s="13">
        <f>YEAR(Tabela13[[#This Row],[Datum]])</f>
        <v>2012</v>
      </c>
      <c r="E16" s="13">
        <f>MONTH(Tabela13[[#This Row],[Datum]])</f>
        <v>3</v>
      </c>
      <c r="F16" s="14">
        <f>(B17-Tabela13[[#This Row],[Zlato]])/Tabela13[[#This Row],[Zlato]]</f>
        <v>-2.7203547246690577E-3</v>
      </c>
      <c r="G16" s="14">
        <f>(C17-Tabela13[[#This Row],[Kriptovalute]])/Tabela13[[#This Row],[Kriptovalute]]</f>
        <v>0</v>
      </c>
      <c r="H16" s="31"/>
    </row>
    <row r="17" spans="1:8" x14ac:dyDescent="0.25">
      <c r="A17" s="11">
        <v>41000</v>
      </c>
      <c r="B17" s="12">
        <v>1664.36</v>
      </c>
      <c r="C17" s="12">
        <v>4.9000000000000004</v>
      </c>
      <c r="D17" s="13">
        <f>YEAR(Tabela13[[#This Row],[Datum]])</f>
        <v>2012</v>
      </c>
      <c r="E17" s="13">
        <f>MONTH(Tabela13[[#This Row],[Datum]])</f>
        <v>4</v>
      </c>
      <c r="F17" s="14">
        <f>(B18-Tabela13[[#This Row],[Zlato]])/Tabela13[[#This Row],[Zlato]]</f>
        <v>-6.2282198562810843E-2</v>
      </c>
      <c r="G17" s="14">
        <f>(C18-Tabela13[[#This Row],[Kriptovalute]])/Tabela13[[#This Row],[Kriptovalute]]</f>
        <v>6.1224489795918324E-2</v>
      </c>
      <c r="H17" s="31"/>
    </row>
    <row r="18" spans="1:8" x14ac:dyDescent="0.25">
      <c r="A18" s="11">
        <v>41030</v>
      </c>
      <c r="B18" s="12">
        <v>1560.7</v>
      </c>
      <c r="C18" s="12">
        <v>5.2</v>
      </c>
      <c r="D18" s="13">
        <f>YEAR(Tabela13[[#This Row],[Datum]])</f>
        <v>2012</v>
      </c>
      <c r="E18" s="13">
        <f>MONTH(Tabela13[[#This Row],[Datum]])</f>
        <v>5</v>
      </c>
      <c r="F18" s="14">
        <f>(B19-Tabela13[[#This Row],[Zlato]])/Tabela13[[#This Row],[Zlato]]</f>
        <v>2.4283975139360457E-2</v>
      </c>
      <c r="G18" s="14">
        <f>(C19-Tabela13[[#This Row],[Kriptovalute]])/Tabela13[[#This Row],[Kriptovalute]]</f>
        <v>0.28846153846153844</v>
      </c>
      <c r="H18" s="31"/>
    </row>
    <row r="19" spans="1:8" x14ac:dyDescent="0.25">
      <c r="A19" s="11">
        <v>41061</v>
      </c>
      <c r="B19" s="12">
        <v>1598.6</v>
      </c>
      <c r="C19" s="12">
        <v>6.7</v>
      </c>
      <c r="D19" s="13">
        <f>YEAR(Tabela13[[#This Row],[Datum]])</f>
        <v>2012</v>
      </c>
      <c r="E19" s="13">
        <f>MONTH(Tabela13[[#This Row],[Datum]])</f>
        <v>6</v>
      </c>
      <c r="F19" s="14">
        <f>(B20-Tabela13[[#This Row],[Zlato]])/Tabela13[[#This Row],[Zlato]]</f>
        <v>9.570874515200915E-3</v>
      </c>
      <c r="G19" s="14">
        <f>(C20-Tabela13[[#This Row],[Kriptovalute]])/Tabela13[[#This Row],[Kriptovalute]]</f>
        <v>0.40298507462686567</v>
      </c>
      <c r="H19" s="31"/>
    </row>
    <row r="20" spans="1:8" x14ac:dyDescent="0.25">
      <c r="A20" s="11">
        <v>41091</v>
      </c>
      <c r="B20" s="12">
        <v>1613.9</v>
      </c>
      <c r="C20" s="12">
        <v>9.4</v>
      </c>
      <c r="D20" s="13">
        <f>YEAR(Tabela13[[#This Row],[Datum]])</f>
        <v>2012</v>
      </c>
      <c r="E20" s="13">
        <f>MONTH(Tabela13[[#This Row],[Datum]])</f>
        <v>7</v>
      </c>
      <c r="F20" s="14">
        <f>(B21-Tabela13[[#This Row],[Zlato]])/Tabela13[[#This Row],[Zlato]]</f>
        <v>4.7865419170952349E-2</v>
      </c>
      <c r="G20" s="14">
        <f>(C21-Tabela13[[#This Row],[Kriptovalute]])/Tabela13[[#This Row],[Kriptovalute]]</f>
        <v>8.5106382978723291E-2</v>
      </c>
      <c r="H20" s="31"/>
    </row>
    <row r="21" spans="1:8" x14ac:dyDescent="0.25">
      <c r="A21" s="11">
        <v>41122</v>
      </c>
      <c r="B21" s="12">
        <v>1691.15</v>
      </c>
      <c r="C21" s="12">
        <v>10.199999999999999</v>
      </c>
      <c r="D21" s="13">
        <f>YEAR(Tabela13[[#This Row],[Datum]])</f>
        <v>2012</v>
      </c>
      <c r="E21" s="13">
        <f>MONTH(Tabela13[[#This Row],[Datum]])</f>
        <v>8</v>
      </c>
      <c r="F21" s="14">
        <f>(B22-Tabela13[[#This Row],[Zlato]])/Tabela13[[#This Row],[Zlato]]</f>
        <v>4.7346480205777093E-2</v>
      </c>
      <c r="G21" s="14">
        <f>(C22-Tabela13[[#This Row],[Kriptovalute]])/Tabela13[[#This Row],[Kriptovalute]]</f>
        <v>0.21568627450980404</v>
      </c>
      <c r="H21" s="31"/>
    </row>
    <row r="22" spans="1:8" x14ac:dyDescent="0.25">
      <c r="A22" s="11">
        <v>41153</v>
      </c>
      <c r="B22" s="12">
        <v>1771.22</v>
      </c>
      <c r="C22" s="12">
        <v>12.4</v>
      </c>
      <c r="D22" s="13">
        <f>YEAR(Tabela13[[#This Row],[Datum]])</f>
        <v>2012</v>
      </c>
      <c r="E22" s="13">
        <f>MONTH(Tabela13[[#This Row],[Datum]])</f>
        <v>9</v>
      </c>
      <c r="F22" s="14">
        <f>(B23-Tabela13[[#This Row],[Zlato]])/Tabela13[[#This Row],[Zlato]]</f>
        <v>-2.8607400548774333E-2</v>
      </c>
      <c r="G22" s="14">
        <f>(C23-Tabela13[[#This Row],[Kriptovalute]])/Tabela13[[#This Row],[Kriptovalute]]</f>
        <v>-9.6774193548387177E-2</v>
      </c>
      <c r="H22" s="31"/>
    </row>
    <row r="23" spans="1:8" x14ac:dyDescent="0.25">
      <c r="A23" s="11">
        <v>41183</v>
      </c>
      <c r="B23" s="12">
        <v>1720.55</v>
      </c>
      <c r="C23" s="12">
        <v>11.2</v>
      </c>
      <c r="D23" s="13">
        <f>YEAR(Tabela13[[#This Row],[Datum]])</f>
        <v>2012</v>
      </c>
      <c r="E23" s="13">
        <f>MONTH(Tabela13[[#This Row],[Datum]])</f>
        <v>10</v>
      </c>
      <c r="F23" s="14">
        <f>(B24-Tabela13[[#This Row],[Zlato]])/Tabela13[[#This Row],[Zlato]]</f>
        <v>-3.5744384063234802E-3</v>
      </c>
      <c r="G23" s="14">
        <f>(C24-Tabela13[[#This Row],[Kriptovalute]])/Tabela13[[#This Row],[Kriptovalute]]</f>
        <v>0.12500000000000003</v>
      </c>
      <c r="H23" s="31"/>
    </row>
    <row r="24" spans="1:8" x14ac:dyDescent="0.25">
      <c r="A24" s="11">
        <v>41214</v>
      </c>
      <c r="B24" s="12">
        <v>1714.4</v>
      </c>
      <c r="C24" s="12">
        <v>12.6</v>
      </c>
      <c r="D24" s="13">
        <f>YEAR(Tabela13[[#This Row],[Datum]])</f>
        <v>2012</v>
      </c>
      <c r="E24" s="13">
        <f>MONTH(Tabela13[[#This Row],[Datum]])</f>
        <v>11</v>
      </c>
      <c r="F24" s="14">
        <f>(B25-Tabela13[[#This Row],[Zlato]])/Tabela13[[#This Row],[Zlato]]</f>
        <v>-2.3366775548296879E-2</v>
      </c>
      <c r="G24" s="14">
        <f>(C25-Tabela13[[#This Row],[Kriptovalute]])/Tabela13[[#This Row],[Kriptovalute]]</f>
        <v>7.1428571428571452E-2</v>
      </c>
      <c r="H24" s="31"/>
    </row>
    <row r="25" spans="1:8" x14ac:dyDescent="0.25">
      <c r="A25" s="11">
        <v>41244</v>
      </c>
      <c r="B25" s="12">
        <v>1674.34</v>
      </c>
      <c r="C25" s="12">
        <v>13.5</v>
      </c>
      <c r="D25" s="13">
        <f>YEAR(Tabela13[[#This Row],[Datum]])</f>
        <v>2012</v>
      </c>
      <c r="E25" s="13">
        <f>MONTH(Tabela13[[#This Row],[Datum]])</f>
        <v>12</v>
      </c>
      <c r="F25" s="14">
        <f>(B26-Tabela13[[#This Row],[Zlato]])/Tabela13[[#This Row],[Zlato]]</f>
        <v>-6.7787904487737914E-3</v>
      </c>
      <c r="G25" s="14">
        <f>(C26-Tabela13[[#This Row],[Kriptovalute]])/Tabela13[[#This Row],[Kriptovalute]]</f>
        <v>0.51111111111111096</v>
      </c>
      <c r="H25" s="31"/>
    </row>
    <row r="26" spans="1:8" x14ac:dyDescent="0.25">
      <c r="A26" s="11">
        <v>41275</v>
      </c>
      <c r="B26" s="12">
        <v>1662.99</v>
      </c>
      <c r="C26" s="12">
        <v>20.399999999999999</v>
      </c>
      <c r="D26" s="13">
        <f>YEAR(Tabela13[[#This Row],[Datum]])</f>
        <v>2013</v>
      </c>
      <c r="E26" s="13">
        <f>MONTH(Tabela13[[#This Row],[Datum]])</f>
        <v>1</v>
      </c>
      <c r="F26" s="14">
        <f>(B27-Tabela13[[#This Row],[Zlato]])/Tabela13[[#This Row],[Zlato]]</f>
        <v>-5.0048406785368531E-2</v>
      </c>
      <c r="G26" s="14">
        <f>(C27-Tabela13[[#This Row],[Kriptovalute]])/Tabela13[[#This Row],[Kriptovalute]]</f>
        <v>0.63725490196078438</v>
      </c>
      <c r="H26" s="31"/>
    </row>
    <row r="27" spans="1:8" x14ac:dyDescent="0.25">
      <c r="A27" s="11">
        <v>41306</v>
      </c>
      <c r="B27" s="12">
        <v>1579.76</v>
      </c>
      <c r="C27" s="12">
        <v>33.4</v>
      </c>
      <c r="D27" s="13">
        <f>YEAR(Tabela13[[#This Row],[Datum]])</f>
        <v>2013</v>
      </c>
      <c r="E27" s="13">
        <f>MONTH(Tabela13[[#This Row],[Datum]])</f>
        <v>2</v>
      </c>
      <c r="F27" s="14">
        <f>(B28-Tabela13[[#This Row],[Zlato]])/Tabela13[[#This Row],[Zlato]]</f>
        <v>1.0387653820833596E-2</v>
      </c>
      <c r="G27" s="14">
        <f>(C28-Tabela13[[#This Row],[Kriptovalute]])/Tabela13[[#This Row],[Kriptovalute]]</f>
        <v>1.784431137724551</v>
      </c>
      <c r="H27" s="31"/>
    </row>
    <row r="28" spans="1:8" x14ac:dyDescent="0.25">
      <c r="A28" s="11">
        <v>41334</v>
      </c>
      <c r="B28" s="12">
        <v>1596.17</v>
      </c>
      <c r="C28" s="12">
        <v>93</v>
      </c>
      <c r="D28" s="13">
        <f>YEAR(Tabela13[[#This Row],[Datum]])</f>
        <v>2013</v>
      </c>
      <c r="E28" s="13">
        <f>MONTH(Tabela13[[#This Row],[Datum]])</f>
        <v>3</v>
      </c>
      <c r="F28" s="14">
        <f>(B29-Tabela13[[#This Row],[Zlato]])/Tabela13[[#This Row],[Zlato]]</f>
        <v>-7.4910567170163672E-2</v>
      </c>
      <c r="G28" s="14">
        <f>(C29-Tabela13[[#This Row],[Kriptovalute]])/Tabela13[[#This Row],[Kriptovalute]]</f>
        <v>0.49677419354838698</v>
      </c>
      <c r="H28" s="31"/>
    </row>
    <row r="29" spans="1:8" x14ac:dyDescent="0.25">
      <c r="A29" s="11">
        <v>41365</v>
      </c>
      <c r="B29" s="12">
        <v>1476.6</v>
      </c>
      <c r="C29" s="12">
        <v>139.19999999999999</v>
      </c>
      <c r="D29" s="13">
        <f>YEAR(Tabela13[[#This Row],[Datum]])</f>
        <v>2013</v>
      </c>
      <c r="E29" s="13">
        <f>MONTH(Tabela13[[#This Row],[Datum]])</f>
        <v>4</v>
      </c>
      <c r="F29" s="14">
        <f>(B30-Tabela13[[#This Row],[Zlato]])/Tabela13[[#This Row],[Zlato]]</f>
        <v>-6.1086279290261294E-2</v>
      </c>
      <c r="G29" s="14">
        <f>(C30-Tabela13[[#This Row],[Kriptovalute]])/Tabela13[[#This Row],[Kriptovalute]]</f>
        <v>-7.4712643678160759E-2</v>
      </c>
      <c r="H29" s="31"/>
    </row>
    <row r="30" spans="1:8" x14ac:dyDescent="0.25">
      <c r="A30" s="11">
        <v>41395</v>
      </c>
      <c r="B30" s="12">
        <v>1386.4</v>
      </c>
      <c r="C30" s="12">
        <v>128.80000000000001</v>
      </c>
      <c r="D30" s="13">
        <f>YEAR(Tabela13[[#This Row],[Datum]])</f>
        <v>2013</v>
      </c>
      <c r="E30" s="13">
        <f>MONTH(Tabela13[[#This Row],[Datum]])</f>
        <v>5</v>
      </c>
      <c r="F30" s="14">
        <f>(B31-Tabela13[[#This Row],[Zlato]])/Tabela13[[#This Row],[Zlato]]</f>
        <v>-0.11054529717253317</v>
      </c>
      <c r="G30" s="14">
        <f>(C31-Tabela13[[#This Row],[Kriptovalute]])/Tabela13[[#This Row],[Kriptovalute]]</f>
        <v>-0.2430124223602485</v>
      </c>
      <c r="H30" s="31"/>
    </row>
    <row r="31" spans="1:8" x14ac:dyDescent="0.25">
      <c r="A31" s="11">
        <v>41426</v>
      </c>
      <c r="B31" s="12">
        <v>1233.1400000000001</v>
      </c>
      <c r="C31" s="12">
        <v>97.5</v>
      </c>
      <c r="D31" s="13">
        <f>YEAR(Tabela13[[#This Row],[Datum]])</f>
        <v>2013</v>
      </c>
      <c r="E31" s="13">
        <f>MONTH(Tabela13[[#This Row],[Datum]])</f>
        <v>6</v>
      </c>
      <c r="F31" s="14">
        <f>(B32-Tabela13[[#This Row],[Zlato]])/Tabela13[[#This Row],[Zlato]]</f>
        <v>7.2457304117942739E-2</v>
      </c>
      <c r="G31" s="14">
        <f>(C32-Tabela13[[#This Row],[Kriptovalute]])/Tabela13[[#This Row],[Kriptovalute]]</f>
        <v>8.9230769230769266E-2</v>
      </c>
      <c r="H31" s="31"/>
    </row>
    <row r="32" spans="1:8" x14ac:dyDescent="0.25">
      <c r="A32" s="11">
        <v>41456</v>
      </c>
      <c r="B32" s="12">
        <v>1322.49</v>
      </c>
      <c r="C32" s="12">
        <v>106.2</v>
      </c>
      <c r="D32" s="13">
        <f>YEAR(Tabela13[[#This Row],[Datum]])</f>
        <v>2013</v>
      </c>
      <c r="E32" s="13">
        <f>MONTH(Tabela13[[#This Row],[Datum]])</f>
        <v>7</v>
      </c>
      <c r="F32" s="14">
        <f>(B33-Tabela13[[#This Row],[Zlato]])/Tabela13[[#This Row],[Zlato]]</f>
        <v>5.5350134972665235E-2</v>
      </c>
      <c r="G32" s="14">
        <f>(C33-Tabela13[[#This Row],[Kriptovalute]])/Tabela13[[#This Row],[Kriptovalute]]</f>
        <v>0.32768361581920902</v>
      </c>
      <c r="H32" s="31"/>
    </row>
    <row r="33" spans="1:8" x14ac:dyDescent="0.25">
      <c r="A33" s="11">
        <v>41487</v>
      </c>
      <c r="B33" s="12">
        <v>1395.69</v>
      </c>
      <c r="C33" s="12">
        <v>141</v>
      </c>
      <c r="D33" s="13">
        <f>YEAR(Tabela13[[#This Row],[Datum]])</f>
        <v>2013</v>
      </c>
      <c r="E33" s="13">
        <f>MONTH(Tabela13[[#This Row],[Datum]])</f>
        <v>8</v>
      </c>
      <c r="F33" s="14">
        <f>(B34-Tabela13[[#This Row],[Zlato]])/Tabela13[[#This Row],[Zlato]]</f>
        <v>-4.9258789559286087E-2</v>
      </c>
      <c r="G33" s="14">
        <f>(C34-Tabela13[[#This Row],[Kriptovalute]])/Tabela13[[#This Row],[Kriptovalute]]</f>
        <v>6.3829787234042958E-3</v>
      </c>
      <c r="H33" s="31"/>
    </row>
    <row r="34" spans="1:8" x14ac:dyDescent="0.25">
      <c r="A34" s="11">
        <v>41518</v>
      </c>
      <c r="B34" s="12">
        <v>1326.94</v>
      </c>
      <c r="C34" s="12">
        <v>141.9</v>
      </c>
      <c r="D34" s="13">
        <f>YEAR(Tabela13[[#This Row],[Datum]])</f>
        <v>2013</v>
      </c>
      <c r="E34" s="13">
        <f>MONTH(Tabela13[[#This Row],[Datum]])</f>
        <v>9</v>
      </c>
      <c r="F34" s="14">
        <f>(B35-Tabela13[[#This Row],[Zlato]])/Tabela13[[#This Row],[Zlato]]</f>
        <v>-2.8260509141332687E-3</v>
      </c>
      <c r="G34" s="14">
        <f>(C35-Tabela13[[#This Row],[Kriptovalute]])/Tabela13[[#This Row],[Kriptovalute]]</f>
        <v>0.48837209302325568</v>
      </c>
      <c r="H34" s="31"/>
    </row>
    <row r="35" spans="1:8" x14ac:dyDescent="0.25">
      <c r="A35" s="11">
        <v>41548</v>
      </c>
      <c r="B35" s="12">
        <v>1323.19</v>
      </c>
      <c r="C35" s="12">
        <v>211.2</v>
      </c>
      <c r="D35" s="13">
        <f>YEAR(Tabela13[[#This Row],[Datum]])</f>
        <v>2013</v>
      </c>
      <c r="E35" s="13">
        <f>MONTH(Tabela13[[#This Row],[Datum]])</f>
        <v>10</v>
      </c>
      <c r="F35" s="14">
        <f>(B36-Tabela13[[#This Row],[Zlato]])/Tabela13[[#This Row],[Zlato]]</f>
        <v>-5.3809354665618724E-2</v>
      </c>
      <c r="G35" s="14">
        <f>(C36-Tabela13[[#This Row],[Kriptovalute]])/Tabela13[[#This Row],[Kriptovalute]]</f>
        <v>4.7088068181818183</v>
      </c>
      <c r="H35" s="31"/>
    </row>
    <row r="36" spans="1:8" x14ac:dyDescent="0.25">
      <c r="A36" s="11">
        <v>41579</v>
      </c>
      <c r="B36" s="12">
        <v>1251.99</v>
      </c>
      <c r="C36" s="12">
        <v>1205.7</v>
      </c>
      <c r="D36" s="13">
        <f>YEAR(Tabela13[[#This Row],[Datum]])</f>
        <v>2013</v>
      </c>
      <c r="E36" s="13">
        <f>MONTH(Tabela13[[#This Row],[Datum]])</f>
        <v>11</v>
      </c>
      <c r="F36" s="14">
        <f>(B37-Tabela13[[#This Row],[Zlato]])/Tabela13[[#This Row],[Zlato]]</f>
        <v>-3.7580172365593939E-2</v>
      </c>
      <c r="G36" s="14">
        <f>(C37-Tabela13[[#This Row],[Kriptovalute]])/Tabela13[[#This Row],[Kriptovalute]]</f>
        <v>-0.33159160653562253</v>
      </c>
      <c r="H36" s="31"/>
    </row>
    <row r="37" spans="1:8" x14ac:dyDescent="0.25">
      <c r="A37" s="11">
        <v>41609</v>
      </c>
      <c r="B37" s="12">
        <v>1204.94</v>
      </c>
      <c r="C37" s="12">
        <v>805.9</v>
      </c>
      <c r="D37" s="13">
        <f>YEAR(Tabela13[[#This Row],[Datum]])</f>
        <v>2013</v>
      </c>
      <c r="E37" s="13">
        <f>MONTH(Tabela13[[#This Row],[Datum]])</f>
        <v>12</v>
      </c>
      <c r="F37" s="14">
        <f>(B38-Tabela13[[#This Row],[Zlato]])/Tabela13[[#This Row],[Zlato]]</f>
        <v>3.174431921921423E-2</v>
      </c>
      <c r="G37" s="14">
        <f>(C38-Tabela13[[#This Row],[Kriptovalute]])/Tabela13[[#This Row],[Kriptovalute]]</f>
        <v>0.16490879761757041</v>
      </c>
      <c r="H37" s="31"/>
    </row>
    <row r="38" spans="1:8" x14ac:dyDescent="0.25">
      <c r="A38" s="11">
        <v>41640</v>
      </c>
      <c r="B38" s="12">
        <v>1243.19</v>
      </c>
      <c r="C38" s="12">
        <v>938.8</v>
      </c>
      <c r="D38" s="13">
        <f>YEAR(Tabela13[[#This Row],[Datum]])</f>
        <v>2014</v>
      </c>
      <c r="E38" s="13">
        <f>MONTH(Tabela13[[#This Row],[Datum]])</f>
        <v>1</v>
      </c>
      <c r="F38" s="14">
        <f>(B39-Tabela13[[#This Row],[Zlato]])/Tabela13[[#This Row],[Zlato]]</f>
        <v>6.6441975884619336E-2</v>
      </c>
      <c r="G38" s="14">
        <f>(C39-Tabela13[[#This Row],[Kriptovalute]])/Tabela13[[#This Row],[Kriptovalute]]</f>
        <v>-0.38868768640818063</v>
      </c>
      <c r="H38" s="31"/>
    </row>
    <row r="39" spans="1:8" x14ac:dyDescent="0.25">
      <c r="A39" s="11">
        <v>41671</v>
      </c>
      <c r="B39" s="12">
        <v>1325.79</v>
      </c>
      <c r="C39" s="12">
        <v>573.9</v>
      </c>
      <c r="D39" s="13">
        <f>YEAR(Tabela13[[#This Row],[Datum]])</f>
        <v>2014</v>
      </c>
      <c r="E39" s="13">
        <f>MONTH(Tabela13[[#This Row],[Datum]])</f>
        <v>2</v>
      </c>
      <c r="F39" s="14">
        <f>(B40-Tabela13[[#This Row],[Zlato]])/Tabela13[[#This Row],[Zlato]]</f>
        <v>-3.1792365306722685E-2</v>
      </c>
      <c r="G39" s="14">
        <f>(C40-Tabela13[[#This Row],[Kriptovalute]])/Tabela13[[#This Row],[Kriptovalute]]</f>
        <v>-0.22512632862868096</v>
      </c>
      <c r="H39" s="31"/>
    </row>
    <row r="40" spans="1:8" x14ac:dyDescent="0.25">
      <c r="A40" s="11">
        <v>41699</v>
      </c>
      <c r="B40" s="12">
        <v>1283.6400000000001</v>
      </c>
      <c r="C40" s="12">
        <v>444.7</v>
      </c>
      <c r="D40" s="13">
        <f>YEAR(Tabela13[[#This Row],[Datum]])</f>
        <v>2014</v>
      </c>
      <c r="E40" s="13">
        <f>MONTH(Tabela13[[#This Row],[Datum]])</f>
        <v>3</v>
      </c>
      <c r="F40" s="14">
        <f>(B41-Tabela13[[#This Row],[Zlato]])/Tabela13[[#This Row],[Zlato]]</f>
        <v>5.9596148452836176E-3</v>
      </c>
      <c r="G40" s="14">
        <f>(C41-Tabela13[[#This Row],[Kriptovalute]])/Tabela13[[#This Row],[Kriptovalute]]</f>
        <v>2.0238362941309516E-3</v>
      </c>
      <c r="H40" s="31"/>
    </row>
    <row r="41" spans="1:8" x14ac:dyDescent="0.25">
      <c r="A41" s="11">
        <v>41730</v>
      </c>
      <c r="B41" s="12">
        <v>1291.29</v>
      </c>
      <c r="C41" s="12">
        <v>445.6</v>
      </c>
      <c r="D41" s="13">
        <f>YEAR(Tabela13[[#This Row],[Datum]])</f>
        <v>2014</v>
      </c>
      <c r="E41" s="13">
        <f>MONTH(Tabela13[[#This Row],[Datum]])</f>
        <v>4</v>
      </c>
      <c r="F41" s="14">
        <f>(B42-Tabela13[[#This Row],[Zlato]])/Tabela13[[#This Row],[Zlato]]</f>
        <v>-3.1441426790263932E-2</v>
      </c>
      <c r="G41" s="14">
        <f>(C42-Tabela13[[#This Row],[Kriptovalute]])/Tabela13[[#This Row],[Kriptovalute]]</f>
        <v>0.40911131059245948</v>
      </c>
      <c r="H41" s="31"/>
    </row>
    <row r="42" spans="1:8" x14ac:dyDescent="0.25">
      <c r="A42" s="11">
        <v>41760</v>
      </c>
      <c r="B42" s="12">
        <v>1250.69</v>
      </c>
      <c r="C42" s="12">
        <v>627.9</v>
      </c>
      <c r="D42" s="13">
        <f>YEAR(Tabela13[[#This Row],[Datum]])</f>
        <v>2014</v>
      </c>
      <c r="E42" s="13">
        <f>MONTH(Tabela13[[#This Row],[Datum]])</f>
        <v>5</v>
      </c>
      <c r="F42" s="14">
        <f>(B43-Tabela13[[#This Row],[Zlato]])/Tabela13[[#This Row],[Zlato]]</f>
        <v>6.1166236237596844E-2</v>
      </c>
      <c r="G42" s="14">
        <f>(C43-Tabela13[[#This Row],[Kriptovalute]])/Tabela13[[#This Row],[Kriptovalute]]</f>
        <v>1.1466794075489801E-2</v>
      </c>
      <c r="H42" s="31"/>
    </row>
    <row r="43" spans="1:8" x14ac:dyDescent="0.25">
      <c r="A43" s="11">
        <v>41791</v>
      </c>
      <c r="B43" s="12">
        <v>1327.19</v>
      </c>
      <c r="C43" s="12">
        <v>635.1</v>
      </c>
      <c r="D43" s="13">
        <f>YEAR(Tabela13[[#This Row],[Datum]])</f>
        <v>2014</v>
      </c>
      <c r="E43" s="13">
        <f>MONTH(Tabela13[[#This Row],[Datum]])</f>
        <v>6</v>
      </c>
      <c r="F43" s="14">
        <f>(B44-Tabela13[[#This Row],[Zlato]])/Tabela13[[#This Row],[Zlato]]</f>
        <v>-3.3981570084162881E-2</v>
      </c>
      <c r="G43" s="14">
        <f>(C44-Tabela13[[#This Row],[Kriptovalute]])/Tabela13[[#This Row],[Kriptovalute]]</f>
        <v>-7.1799716580066161E-2</v>
      </c>
      <c r="H43" s="31"/>
    </row>
    <row r="44" spans="1:8" x14ac:dyDescent="0.25">
      <c r="A44" s="11">
        <v>41821</v>
      </c>
      <c r="B44" s="12">
        <v>1282.0899999999999</v>
      </c>
      <c r="C44" s="12">
        <v>589.5</v>
      </c>
      <c r="D44" s="13">
        <f>YEAR(Tabela13[[#This Row],[Datum]])</f>
        <v>2014</v>
      </c>
      <c r="E44" s="13">
        <f>MONTH(Tabela13[[#This Row],[Datum]])</f>
        <v>7</v>
      </c>
      <c r="F44" s="14">
        <f>(B45-Tabela13[[#This Row],[Zlato]])/Tabela13[[#This Row],[Zlato]]</f>
        <v>3.8842826946626358E-3</v>
      </c>
      <c r="G44" s="14">
        <f>(C45-Tabela13[[#This Row],[Kriptovalute]])/Tabela13[[#This Row],[Kriptovalute]]</f>
        <v>-0.18269720101781167</v>
      </c>
      <c r="H44" s="31"/>
    </row>
    <row r="45" spans="1:8" x14ac:dyDescent="0.25">
      <c r="A45" s="11">
        <v>41852</v>
      </c>
      <c r="B45" s="12">
        <v>1287.07</v>
      </c>
      <c r="C45" s="12">
        <v>481.8</v>
      </c>
      <c r="D45" s="13">
        <f>YEAR(Tabela13[[#This Row],[Datum]])</f>
        <v>2014</v>
      </c>
      <c r="E45" s="13">
        <f>MONTH(Tabela13[[#This Row],[Datum]])</f>
        <v>8</v>
      </c>
      <c r="F45" s="14">
        <f>(B46-Tabela13[[#This Row],[Zlato]])/Tabela13[[#This Row],[Zlato]]</f>
        <v>-6.0859160729408605E-2</v>
      </c>
      <c r="G45" s="14">
        <f>(C46-Tabela13[[#This Row],[Kriptovalute]])/Tabela13[[#This Row],[Kriptovalute]]</f>
        <v>-0.19427148194271487</v>
      </c>
      <c r="H45" s="31"/>
    </row>
    <row r="46" spans="1:8" x14ac:dyDescent="0.25">
      <c r="A46" s="11">
        <v>41883</v>
      </c>
      <c r="B46" s="12">
        <v>1208.74</v>
      </c>
      <c r="C46" s="12">
        <v>388.2</v>
      </c>
      <c r="D46" s="13">
        <f>YEAR(Tabela13[[#This Row],[Datum]])</f>
        <v>2014</v>
      </c>
      <c r="E46" s="13">
        <f>MONTH(Tabela13[[#This Row],[Datum]])</f>
        <v>9</v>
      </c>
      <c r="F46" s="14">
        <f>(B47-Tabela13[[#This Row],[Zlato]])/Tabela13[[#This Row],[Zlato]]</f>
        <v>-2.8806856726839466E-2</v>
      </c>
      <c r="G46" s="14">
        <f>(C47-Tabela13[[#This Row],[Kriptovalute]])/Tabela13[[#This Row],[Kriptovalute]]</f>
        <v>-0.12957238536836685</v>
      </c>
      <c r="H46" s="31"/>
    </row>
    <row r="47" spans="1:8" x14ac:dyDescent="0.25">
      <c r="A47" s="11">
        <v>41913</v>
      </c>
      <c r="B47" s="12">
        <v>1173.92</v>
      </c>
      <c r="C47" s="12">
        <v>337.9</v>
      </c>
      <c r="D47" s="13">
        <f>YEAR(Tabela13[[#This Row],[Datum]])</f>
        <v>2014</v>
      </c>
      <c r="E47" s="13">
        <f>MONTH(Tabela13[[#This Row],[Datum]])</f>
        <v>10</v>
      </c>
      <c r="F47" s="14">
        <f>(B48-Tabela13[[#This Row],[Zlato]])/Tabela13[[#This Row],[Zlato]]</f>
        <v>-5.8607060106311403E-3</v>
      </c>
      <c r="G47" s="14">
        <f>(C48-Tabela13[[#This Row],[Kriptovalute]])/Tabela13[[#This Row],[Kriptovalute]]</f>
        <v>0.10949985202722699</v>
      </c>
      <c r="H47" s="31"/>
    </row>
    <row r="48" spans="1:8" x14ac:dyDescent="0.25">
      <c r="A48" s="11">
        <v>41944</v>
      </c>
      <c r="B48" s="12">
        <v>1167.04</v>
      </c>
      <c r="C48" s="12">
        <v>374.9</v>
      </c>
      <c r="D48" s="13">
        <f>YEAR(Tabela13[[#This Row],[Datum]])</f>
        <v>2014</v>
      </c>
      <c r="E48" s="13">
        <f>MONTH(Tabela13[[#This Row],[Datum]])</f>
        <v>11</v>
      </c>
      <c r="F48" s="14">
        <f>(B49-Tabela13[[#This Row],[Zlato]])/Tabela13[[#This Row],[Zlato]]</f>
        <v>1.4146901562928428E-2</v>
      </c>
      <c r="G48" s="14">
        <f>(C49-Tabela13[[#This Row],[Kriptovalute]])/Tabela13[[#This Row],[Kriptovalute]]</f>
        <v>-0.15124033075486795</v>
      </c>
      <c r="H48" s="31"/>
    </row>
    <row r="49" spans="1:8" x14ac:dyDescent="0.25">
      <c r="A49" s="11">
        <v>41974</v>
      </c>
      <c r="B49" s="12">
        <v>1183.55</v>
      </c>
      <c r="C49" s="12">
        <v>318.2</v>
      </c>
      <c r="D49" s="13">
        <f>YEAR(Tabela13[[#This Row],[Datum]])</f>
        <v>2014</v>
      </c>
      <c r="E49" s="13">
        <f>MONTH(Tabela13[[#This Row],[Datum]])</f>
        <v>12</v>
      </c>
      <c r="F49" s="14">
        <f>(B50-Tabela13[[#This Row],[Zlato]])/Tabela13[[#This Row],[Zlato]]</f>
        <v>8.3857885175953703E-2</v>
      </c>
      <c r="G49" s="14">
        <f>(C50-Tabela13[[#This Row],[Kriptovalute]])/Tabela13[[#This Row],[Kriptovalute]]</f>
        <v>-0.31332495285983658</v>
      </c>
      <c r="H49" s="31"/>
    </row>
    <row r="50" spans="1:8" x14ac:dyDescent="0.25">
      <c r="A50" s="11">
        <v>42005</v>
      </c>
      <c r="B50" s="12">
        <v>1282.8</v>
      </c>
      <c r="C50" s="12">
        <v>218.5</v>
      </c>
      <c r="D50" s="13">
        <f>YEAR(Tabela13[[#This Row],[Datum]])</f>
        <v>2015</v>
      </c>
      <c r="E50" s="13">
        <f>MONTH(Tabela13[[#This Row],[Datum]])</f>
        <v>1</v>
      </c>
      <c r="F50" s="14">
        <f>(B51-Tabela13[[#This Row],[Zlato]])/Tabela13[[#This Row],[Zlato]]</f>
        <v>-5.4763018397256003E-2</v>
      </c>
      <c r="G50" s="14">
        <f>(C51-Tabela13[[#This Row],[Kriptovalute]])/Tabela13[[#This Row],[Kriptovalute]]</f>
        <v>0.16292906178489699</v>
      </c>
      <c r="H50" s="31"/>
    </row>
    <row r="51" spans="1:8" x14ac:dyDescent="0.25">
      <c r="A51" s="11">
        <v>42036</v>
      </c>
      <c r="B51" s="12">
        <v>1212.55</v>
      </c>
      <c r="C51" s="12">
        <v>254.1</v>
      </c>
      <c r="D51" s="13">
        <f>YEAR(Tabela13[[#This Row],[Datum]])</f>
        <v>2015</v>
      </c>
      <c r="E51" s="13">
        <f>MONTH(Tabela13[[#This Row],[Datum]])</f>
        <v>2</v>
      </c>
      <c r="F51" s="14">
        <f>(B52-Tabela13[[#This Row],[Zlato]])/Tabela13[[#This Row],[Zlato]]</f>
        <v>-2.428765824089732E-2</v>
      </c>
      <c r="G51" s="14">
        <f>(C52-Tabela13[[#This Row],[Kriptovalute]])/Tabela13[[#This Row],[Kriptovalute]]</f>
        <v>-3.9354584809130268E-2</v>
      </c>
      <c r="H51" s="31"/>
    </row>
    <row r="52" spans="1:8" x14ac:dyDescent="0.25">
      <c r="A52" s="11">
        <v>42064</v>
      </c>
      <c r="B52" s="12">
        <v>1183.0999999999999</v>
      </c>
      <c r="C52" s="12">
        <v>244.1</v>
      </c>
      <c r="D52" s="13">
        <f>YEAR(Tabela13[[#This Row],[Datum]])</f>
        <v>2015</v>
      </c>
      <c r="E52" s="13">
        <f>MONTH(Tabela13[[#This Row],[Datum]])</f>
        <v>3</v>
      </c>
      <c r="F52" s="14">
        <f>(B53-Tabela13[[#This Row],[Zlato]])/Tabela13[[#This Row],[Zlato]]</f>
        <v>6.3392781675259921E-4</v>
      </c>
      <c r="G52" s="14">
        <f>(C53-Tabela13[[#This Row],[Kriptovalute]])/Tabela13[[#This Row],[Kriptovalute]]</f>
        <v>-3.400245800901263E-2</v>
      </c>
      <c r="H52" s="31"/>
    </row>
    <row r="53" spans="1:8" x14ac:dyDescent="0.25">
      <c r="A53" s="11">
        <v>42095</v>
      </c>
      <c r="B53" s="12">
        <v>1183.8499999999999</v>
      </c>
      <c r="C53" s="12">
        <v>235.8</v>
      </c>
      <c r="D53" s="13">
        <f>YEAR(Tabela13[[#This Row],[Datum]])</f>
        <v>2015</v>
      </c>
      <c r="E53" s="13">
        <f>MONTH(Tabela13[[#This Row],[Datum]])</f>
        <v>4</v>
      </c>
      <c r="F53" s="14">
        <f>(B54-Tabela13[[#This Row],[Zlato]])/Tabela13[[#This Row],[Zlato]]</f>
        <v>4.9837394940238132E-3</v>
      </c>
      <c r="G53" s="14">
        <f>(C54-Tabela13[[#This Row],[Kriptovalute]])/Tabela13[[#This Row],[Kriptovalute]]</f>
        <v>-2.5445292620865138E-2</v>
      </c>
      <c r="H53" s="31"/>
    </row>
    <row r="54" spans="1:8" x14ac:dyDescent="0.25">
      <c r="A54" s="11">
        <v>42125</v>
      </c>
      <c r="B54" s="12">
        <v>1189.75</v>
      </c>
      <c r="C54" s="12">
        <v>229.8</v>
      </c>
      <c r="D54" s="13">
        <f>YEAR(Tabela13[[#This Row],[Datum]])</f>
        <v>2015</v>
      </c>
      <c r="E54" s="13">
        <f>MONTH(Tabela13[[#This Row],[Datum]])</f>
        <v>5</v>
      </c>
      <c r="F54" s="14">
        <f>(B55-Tabela13[[#This Row],[Zlato]])/Tabela13[[#This Row],[Zlato]]</f>
        <v>-1.4750998108846359E-2</v>
      </c>
      <c r="G54" s="14">
        <f>(C55-Tabela13[[#This Row],[Kriptovalute]])/Tabela13[[#This Row],[Kriptovalute]]</f>
        <v>0.14926022628372501</v>
      </c>
      <c r="H54" s="31"/>
    </row>
    <row r="55" spans="1:8" x14ac:dyDescent="0.25">
      <c r="A55" s="11">
        <v>42156</v>
      </c>
      <c r="B55" s="12">
        <v>1172.2</v>
      </c>
      <c r="C55" s="12">
        <v>264.10000000000002</v>
      </c>
      <c r="D55" s="13">
        <f>YEAR(Tabela13[[#This Row],[Datum]])</f>
        <v>2015</v>
      </c>
      <c r="E55" s="13">
        <f>MONTH(Tabela13[[#This Row],[Datum]])</f>
        <v>6</v>
      </c>
      <c r="F55" s="14">
        <f>(B56-Tabela13[[#This Row],[Zlato]])/Tabela13[[#This Row],[Zlato]]</f>
        <v>-6.5517829721890422E-2</v>
      </c>
      <c r="G55" s="14">
        <f>(C56-Tabela13[[#This Row],[Kriptovalute]])/Tabela13[[#This Row],[Kriptovalute]]</f>
        <v>7.4214312760317924E-2</v>
      </c>
      <c r="H55" s="31"/>
    </row>
    <row r="56" spans="1:8" x14ac:dyDescent="0.25">
      <c r="A56" s="11">
        <v>42186</v>
      </c>
      <c r="B56" s="12">
        <v>1095.4000000000001</v>
      </c>
      <c r="C56" s="12">
        <v>283.7</v>
      </c>
      <c r="D56" s="13">
        <f>YEAR(Tabela13[[#This Row],[Datum]])</f>
        <v>2015</v>
      </c>
      <c r="E56" s="13">
        <f>MONTH(Tabela13[[#This Row],[Datum]])</f>
        <v>7</v>
      </c>
      <c r="F56" s="14">
        <f>(B57-Tabela13[[#This Row],[Zlato]])/Tabela13[[#This Row],[Zlato]]</f>
        <v>3.5329559978090029E-2</v>
      </c>
      <c r="G56" s="14">
        <f>(C57-Tabela13[[#This Row],[Kriptovalute]])/Tabela13[[#This Row],[Kriptovalute]]</f>
        <v>-0.1910468805075784</v>
      </c>
      <c r="H56" s="31"/>
    </row>
    <row r="57" spans="1:8" x14ac:dyDescent="0.25">
      <c r="A57" s="11">
        <v>42217</v>
      </c>
      <c r="B57" s="12">
        <v>1134.0999999999999</v>
      </c>
      <c r="C57" s="12">
        <v>229.5</v>
      </c>
      <c r="D57" s="13">
        <f>YEAR(Tabela13[[#This Row],[Datum]])</f>
        <v>2015</v>
      </c>
      <c r="E57" s="13">
        <f>MONTH(Tabela13[[#This Row],[Datum]])</f>
        <v>8</v>
      </c>
      <c r="F57" s="14">
        <f>(B58-Tabela13[[#This Row],[Zlato]])/Tabela13[[#This Row],[Zlato]]</f>
        <v>-1.7194250947888196E-2</v>
      </c>
      <c r="G57" s="14">
        <f>(C58-Tabela13[[#This Row],[Kriptovalute]])/Tabela13[[#This Row],[Kriptovalute]]</f>
        <v>2.788671023965144E-2</v>
      </c>
      <c r="H57" s="31"/>
    </row>
    <row r="58" spans="1:8" x14ac:dyDescent="0.25">
      <c r="A58" s="11">
        <v>42248</v>
      </c>
      <c r="B58" s="12">
        <v>1114.5999999999999</v>
      </c>
      <c r="C58" s="12">
        <v>235.9</v>
      </c>
      <c r="D58" s="13">
        <f>YEAR(Tabela13[[#This Row],[Datum]])</f>
        <v>2015</v>
      </c>
      <c r="E58" s="13">
        <f>MONTH(Tabela13[[#This Row],[Datum]])</f>
        <v>9</v>
      </c>
      <c r="F58" s="14">
        <f>(B59-Tabela13[[#This Row],[Zlato]])/Tabela13[[#This Row],[Zlato]]</f>
        <v>2.458280997667333E-2</v>
      </c>
      <c r="G58" s="14">
        <f>(C59-Tabela13[[#This Row],[Kriptovalute]])/Tabela13[[#This Row],[Kriptovalute]]</f>
        <v>0.31920305214073752</v>
      </c>
      <c r="H58" s="31"/>
    </row>
    <row r="59" spans="1:8" x14ac:dyDescent="0.25">
      <c r="A59" s="11">
        <v>42278</v>
      </c>
      <c r="B59" s="12">
        <v>1142</v>
      </c>
      <c r="C59" s="12">
        <v>311.2</v>
      </c>
      <c r="D59" s="13">
        <f>YEAR(Tabela13[[#This Row],[Datum]])</f>
        <v>2015</v>
      </c>
      <c r="E59" s="13">
        <f>MONTH(Tabela13[[#This Row],[Datum]])</f>
        <v>10</v>
      </c>
      <c r="F59" s="14">
        <f>(B60-Tabela13[[#This Row],[Zlato]])/Tabela13[[#This Row],[Zlato]]</f>
        <v>-6.828371278458846E-2</v>
      </c>
      <c r="G59" s="14">
        <f>(C60-Tabela13[[#This Row],[Kriptovalute]])/Tabela13[[#This Row],[Kriptovalute]]</f>
        <v>0.21465295629820055</v>
      </c>
      <c r="H59" s="31"/>
    </row>
    <row r="60" spans="1:8" x14ac:dyDescent="0.25">
      <c r="A60" s="11">
        <v>42309</v>
      </c>
      <c r="B60" s="12">
        <v>1064.02</v>
      </c>
      <c r="C60" s="12">
        <v>378</v>
      </c>
      <c r="D60" s="13">
        <f>YEAR(Tabela13[[#This Row],[Datum]])</f>
        <v>2015</v>
      </c>
      <c r="E60" s="13">
        <f>MONTH(Tabela13[[#This Row],[Datum]])</f>
        <v>11</v>
      </c>
      <c r="F60" s="14">
        <f>(B61-Tabela13[[#This Row],[Zlato]])/Tabela13[[#This Row],[Zlato]]</f>
        <v>-2.9228773895226593E-3</v>
      </c>
      <c r="G60" s="14">
        <f>(C61-Tabela13[[#This Row],[Kriptovalute]])/Tabela13[[#This Row],[Kriptovalute]]</f>
        <v>0.13756613756613756</v>
      </c>
      <c r="H60" s="31"/>
    </row>
    <row r="61" spans="1:8" x14ac:dyDescent="0.25">
      <c r="A61" s="11">
        <v>42339</v>
      </c>
      <c r="B61" s="12">
        <v>1060.9100000000001</v>
      </c>
      <c r="C61" s="12">
        <v>430</v>
      </c>
      <c r="D61" s="13">
        <f>YEAR(Tabela13[[#This Row],[Datum]])</f>
        <v>2015</v>
      </c>
      <c r="E61" s="13">
        <f>MONTH(Tabela13[[#This Row],[Datum]])</f>
        <v>12</v>
      </c>
      <c r="F61" s="14">
        <f>(B62-Tabela13[[#This Row],[Zlato]])/Tabela13[[#This Row],[Zlato]]</f>
        <v>5.3472961891206622E-2</v>
      </c>
      <c r="G61" s="14">
        <f>(C62-Tabela13[[#This Row],[Kriptovalute]])/Tabela13[[#This Row],[Kriptovalute]]</f>
        <v>-0.13999999999999999</v>
      </c>
      <c r="H61" s="31"/>
    </row>
    <row r="62" spans="1:8" x14ac:dyDescent="0.25">
      <c r="A62" s="11">
        <v>42370</v>
      </c>
      <c r="B62" s="12">
        <v>1117.6400000000001</v>
      </c>
      <c r="C62" s="12">
        <v>369.8</v>
      </c>
      <c r="D62" s="13">
        <f>YEAR(Tabela13[[#This Row],[Datum]])</f>
        <v>2016</v>
      </c>
      <c r="E62" s="13">
        <f>MONTH(Tabela13[[#This Row],[Datum]])</f>
        <v>1</v>
      </c>
      <c r="F62" s="14">
        <f>(B63-Tabela13[[#This Row],[Zlato]])/Tabela13[[#This Row],[Zlato]]</f>
        <v>0.10747646827243108</v>
      </c>
      <c r="G62" s="14">
        <f>(C63-Tabela13[[#This Row],[Kriptovalute]])/Tabela13[[#This Row],[Kriptovalute]]</f>
        <v>0.17955651703623574</v>
      </c>
      <c r="H62" s="31"/>
    </row>
    <row r="63" spans="1:8" x14ac:dyDescent="0.25">
      <c r="A63" s="11">
        <v>42401</v>
      </c>
      <c r="B63" s="12">
        <v>1237.76</v>
      </c>
      <c r="C63" s="12">
        <v>436.2</v>
      </c>
      <c r="D63" s="13">
        <f>YEAR(Tabela13[[#This Row],[Datum]])</f>
        <v>2016</v>
      </c>
      <c r="E63" s="13">
        <f>MONTH(Tabela13[[#This Row],[Datum]])</f>
        <v>2</v>
      </c>
      <c r="F63" s="14">
        <f>(B64-Tabela13[[#This Row],[Zlato]])/Tabela13[[#This Row],[Zlato]]</f>
        <v>-4.6939632885211555E-3</v>
      </c>
      <c r="G63" s="14">
        <f>(C64-Tabela13[[#This Row],[Kriptovalute]])/Tabela13[[#This Row],[Kriptovalute]]</f>
        <v>-4.6996790463090327E-2</v>
      </c>
      <c r="H63" s="31"/>
    </row>
    <row r="64" spans="1:8" x14ac:dyDescent="0.25">
      <c r="A64" s="11">
        <v>42430</v>
      </c>
      <c r="B64" s="12">
        <v>1231.95</v>
      </c>
      <c r="C64" s="12">
        <v>415.7</v>
      </c>
      <c r="D64" s="13">
        <f>YEAR(Tabela13[[#This Row],[Datum]])</f>
        <v>2016</v>
      </c>
      <c r="E64" s="13">
        <f>MONTH(Tabela13[[#This Row],[Datum]])</f>
        <v>3</v>
      </c>
      <c r="F64" s="14">
        <f>(B65-Tabela13[[#This Row],[Zlato]])/Tabela13[[#This Row],[Zlato]]</f>
        <v>4.984780226470218E-2</v>
      </c>
      <c r="G64" s="14">
        <f>(C65-Tabela13[[#This Row],[Kriptovalute]])/Tabela13[[#This Row],[Kriptovalute]]</f>
        <v>7.8903055087803736E-2</v>
      </c>
      <c r="H64" s="31"/>
    </row>
    <row r="65" spans="1:8" x14ac:dyDescent="0.25">
      <c r="A65" s="11">
        <v>42461</v>
      </c>
      <c r="B65" s="12">
        <v>1293.3599999999999</v>
      </c>
      <c r="C65" s="12">
        <v>448.5</v>
      </c>
      <c r="D65" s="13">
        <f>YEAR(Tabela13[[#This Row],[Datum]])</f>
        <v>2016</v>
      </c>
      <c r="E65" s="13">
        <f>MONTH(Tabela13[[#This Row],[Datum]])</f>
        <v>4</v>
      </c>
      <c r="F65" s="14">
        <f>(B66-Tabela13[[#This Row],[Zlato]])/Tabela13[[#This Row],[Zlato]]</f>
        <v>-6.0826065441949538E-2</v>
      </c>
      <c r="G65" s="14">
        <f>(C66-Tabela13[[#This Row],[Kriptovalute]])/Tabela13[[#This Row],[Kriptovalute]]</f>
        <v>0.17926421404682269</v>
      </c>
      <c r="H65" s="31"/>
    </row>
    <row r="66" spans="1:8" x14ac:dyDescent="0.25">
      <c r="A66" s="11">
        <v>42491</v>
      </c>
      <c r="B66" s="12">
        <v>1214.69</v>
      </c>
      <c r="C66" s="12">
        <v>528.9</v>
      </c>
      <c r="D66" s="13">
        <f>YEAR(Tabela13[[#This Row],[Datum]])</f>
        <v>2016</v>
      </c>
      <c r="E66" s="13">
        <f>MONTH(Tabela13[[#This Row],[Datum]])</f>
        <v>5</v>
      </c>
      <c r="F66" s="14">
        <f>(B67-Tabela13[[#This Row],[Zlato]])/Tabela13[[#This Row],[Zlato]]</f>
        <v>8.8162411808774183E-2</v>
      </c>
      <c r="G66" s="14">
        <f>(C67-Tabela13[[#This Row],[Kriptovalute]])/Tabela13[[#This Row],[Kriptovalute]]</f>
        <v>0.26678010966156179</v>
      </c>
      <c r="H66" s="31"/>
    </row>
    <row r="67" spans="1:8" x14ac:dyDescent="0.25">
      <c r="A67" s="11">
        <v>42522</v>
      </c>
      <c r="B67" s="12">
        <v>1321.78</v>
      </c>
      <c r="C67" s="12">
        <v>670</v>
      </c>
      <c r="D67" s="13">
        <f>YEAR(Tabela13[[#This Row],[Datum]])</f>
        <v>2016</v>
      </c>
      <c r="E67" s="13">
        <f>MONTH(Tabela13[[#This Row],[Datum]])</f>
        <v>6</v>
      </c>
      <c r="F67" s="14">
        <f>(B68-Tabela13[[#This Row],[Zlato]])/Tabela13[[#This Row],[Zlato]]</f>
        <v>2.1796365507119147E-2</v>
      </c>
      <c r="G67" s="14">
        <f>(C68-Tabela13[[#This Row],[Kriptovalute]])/Tabela13[[#This Row],[Kriptovalute]]</f>
        <v>-7.1791044776119431E-2</v>
      </c>
      <c r="H67" s="31"/>
    </row>
    <row r="68" spans="1:8" x14ac:dyDescent="0.25">
      <c r="A68" s="11">
        <v>42552</v>
      </c>
      <c r="B68" s="12">
        <v>1350.59</v>
      </c>
      <c r="C68" s="12">
        <v>621.9</v>
      </c>
      <c r="D68" s="13">
        <f>YEAR(Tabela13[[#This Row],[Datum]])</f>
        <v>2016</v>
      </c>
      <c r="E68" s="13">
        <f>MONTH(Tabela13[[#This Row],[Datum]])</f>
        <v>7</v>
      </c>
      <c r="F68" s="14">
        <f>(B69-Tabela13[[#This Row],[Zlato]])/Tabela13[[#This Row],[Zlato]]</f>
        <v>-3.1201178744104337E-2</v>
      </c>
      <c r="G68" s="14">
        <f>(C69-Tabela13[[#This Row],[Kriptovalute]])/Tabela13[[#This Row],[Kriptovalute]]</f>
        <v>-7.7182826821032322E-2</v>
      </c>
      <c r="H68" s="31"/>
    </row>
    <row r="69" spans="1:8" x14ac:dyDescent="0.25">
      <c r="A69" s="11">
        <v>42583</v>
      </c>
      <c r="B69" s="12">
        <v>1308.45</v>
      </c>
      <c r="C69" s="12">
        <v>573.9</v>
      </c>
      <c r="D69" s="13">
        <f>YEAR(Tabela13[[#This Row],[Datum]])</f>
        <v>2016</v>
      </c>
      <c r="E69" s="13">
        <f>MONTH(Tabela13[[#This Row],[Datum]])</f>
        <v>8</v>
      </c>
      <c r="F69" s="14">
        <f>(B70-Tabela13[[#This Row],[Zlato]])/Tabela13[[#This Row],[Zlato]]</f>
        <v>5.6173334861858758E-3</v>
      </c>
      <c r="G69" s="14">
        <f>(C70-Tabela13[[#This Row],[Kriptovalute]])/Tabela13[[#This Row],[Kriptovalute]]</f>
        <v>5.9592263460533278E-2</v>
      </c>
      <c r="H69" s="31"/>
    </row>
    <row r="70" spans="1:8" x14ac:dyDescent="0.25">
      <c r="A70" s="11">
        <v>42614</v>
      </c>
      <c r="B70" s="12">
        <v>1315.8</v>
      </c>
      <c r="C70" s="12">
        <v>608.1</v>
      </c>
      <c r="D70" s="13">
        <f>YEAR(Tabela13[[#This Row],[Datum]])</f>
        <v>2016</v>
      </c>
      <c r="E70" s="13">
        <f>MONTH(Tabela13[[#This Row],[Datum]])</f>
        <v>9</v>
      </c>
      <c r="F70" s="14">
        <f>(B71-Tabela13[[#This Row],[Zlato]])/Tabela13[[#This Row],[Zlato]]</f>
        <v>-2.9274965800273584E-2</v>
      </c>
      <c r="G70" s="14">
        <f>(C71-Tabela13[[#This Row],[Kriptovalute]])/Tabela13[[#This Row],[Kriptovalute]]</f>
        <v>0.14898865318204246</v>
      </c>
      <c r="H70" s="31"/>
    </row>
    <row r="71" spans="1:8" x14ac:dyDescent="0.25">
      <c r="A71" s="11">
        <v>42644</v>
      </c>
      <c r="B71" s="12">
        <v>1277.28</v>
      </c>
      <c r="C71" s="12">
        <v>698.7</v>
      </c>
      <c r="D71" s="13">
        <f>YEAR(Tabela13[[#This Row],[Datum]])</f>
        <v>2016</v>
      </c>
      <c r="E71" s="13">
        <f>MONTH(Tabela13[[#This Row],[Datum]])</f>
        <v>10</v>
      </c>
      <c r="F71" s="14">
        <f>(B72-Tabela13[[#This Row],[Zlato]])/Tabela13[[#This Row],[Zlato]]</f>
        <v>-8.1877113866967249E-2</v>
      </c>
      <c r="G71" s="14">
        <f>(C72-Tabela13[[#This Row],[Kriptovalute]])/Tabela13[[#This Row],[Kriptovalute]]</f>
        <v>6.2687848862172532E-2</v>
      </c>
      <c r="H71" s="31"/>
    </row>
    <row r="72" spans="1:8" x14ac:dyDescent="0.25">
      <c r="A72" s="11">
        <v>42675</v>
      </c>
      <c r="B72" s="12">
        <v>1172.7</v>
      </c>
      <c r="C72" s="12">
        <v>742.5</v>
      </c>
      <c r="D72" s="13">
        <f>YEAR(Tabela13[[#This Row],[Datum]])</f>
        <v>2016</v>
      </c>
      <c r="E72" s="13">
        <f>MONTH(Tabela13[[#This Row],[Datum]])</f>
        <v>11</v>
      </c>
      <c r="F72" s="14">
        <f>(B73-Tabela13[[#This Row],[Zlato]])/Tabela13[[#This Row],[Zlato]]</f>
        <v>-1.8112049117421342E-2</v>
      </c>
      <c r="G72" s="14">
        <f>(C73-Tabela13[[#This Row],[Kriptovalute]])/Tabela13[[#This Row],[Kriptovalute]]</f>
        <v>0.2975084175084175</v>
      </c>
      <c r="H72" s="31"/>
    </row>
    <row r="73" spans="1:8" x14ac:dyDescent="0.25">
      <c r="A73" s="11">
        <v>42705</v>
      </c>
      <c r="B73" s="12">
        <v>1151.46</v>
      </c>
      <c r="C73" s="12">
        <v>963.4</v>
      </c>
      <c r="D73" s="13">
        <f>YEAR(Tabela13[[#This Row],[Datum]])</f>
        <v>2016</v>
      </c>
      <c r="E73" s="13">
        <f>MONTH(Tabela13[[#This Row],[Datum]])</f>
        <v>12</v>
      </c>
      <c r="F73" s="14">
        <f>(B74-Tabela13[[#This Row],[Zlato]])/Tabela13[[#This Row],[Zlato]]</f>
        <v>5.1282719330241568E-2</v>
      </c>
      <c r="G73" s="14">
        <f>(C74-Tabela13[[#This Row],[Kriptovalute]])/Tabela13[[#This Row],[Kriptovalute]]</f>
        <v>2.1797799460245202E-3</v>
      </c>
      <c r="H73" s="31"/>
    </row>
    <row r="74" spans="1:8" x14ac:dyDescent="0.25">
      <c r="A74" s="11">
        <v>42736</v>
      </c>
      <c r="B74" s="12">
        <v>1210.51</v>
      </c>
      <c r="C74" s="12">
        <v>965.5</v>
      </c>
      <c r="D74" s="13">
        <f>YEAR(Tabela13[[#This Row],[Datum]])</f>
        <v>2017</v>
      </c>
      <c r="E74" s="13">
        <f>MONTH(Tabela13[[#This Row],[Datum]])</f>
        <v>1</v>
      </c>
      <c r="F74" s="14">
        <f>(B75-Tabela13[[#This Row],[Zlato]])/Tabela13[[#This Row],[Zlato]]</f>
        <v>3.139998843462672E-2</v>
      </c>
      <c r="G74" s="14">
        <f>(C75-Tabela13[[#This Row],[Kriptovalute]])/Tabela13[[#This Row],[Kriptovalute]]</f>
        <v>0.23179699637493523</v>
      </c>
      <c r="H74" s="31"/>
    </row>
    <row r="75" spans="1:8" x14ac:dyDescent="0.25">
      <c r="A75" s="11">
        <v>42767</v>
      </c>
      <c r="B75" s="12">
        <v>1248.52</v>
      </c>
      <c r="C75" s="12">
        <v>1189.3</v>
      </c>
      <c r="D75" s="13">
        <f>YEAR(Tabela13[[#This Row],[Datum]])</f>
        <v>2017</v>
      </c>
      <c r="E75" s="13">
        <f>MONTH(Tabela13[[#This Row],[Datum]])</f>
        <v>2</v>
      </c>
      <c r="F75" s="14">
        <f>(B76-Tabela13[[#This Row],[Zlato]])/Tabela13[[#This Row],[Zlato]]</f>
        <v>8.8104315509665305E-5</v>
      </c>
      <c r="G75" s="14">
        <f>(C76-Tabela13[[#This Row],[Kriptovalute]])/Tabela13[[#This Row],[Kriptovalute]]</f>
        <v>-9.2659547633061501E-2</v>
      </c>
      <c r="H75" s="31"/>
    </row>
    <row r="76" spans="1:8" x14ac:dyDescent="0.25">
      <c r="A76" s="11">
        <v>42795</v>
      </c>
      <c r="B76" s="12">
        <v>1248.6300000000001</v>
      </c>
      <c r="C76" s="12">
        <v>1079.0999999999999</v>
      </c>
      <c r="D76" s="13">
        <f>YEAR(Tabela13[[#This Row],[Datum]])</f>
        <v>2017</v>
      </c>
      <c r="E76" s="13">
        <f>MONTH(Tabela13[[#This Row],[Datum]])</f>
        <v>3</v>
      </c>
      <c r="F76" s="14">
        <f>(B77-Tabela13[[#This Row],[Zlato]])/Tabela13[[#This Row],[Zlato]]</f>
        <v>1.5232695033756983E-2</v>
      </c>
      <c r="G76" s="14">
        <f>(C77-Tabela13[[#This Row],[Kriptovalute]])/Tabela13[[#This Row],[Kriptovalute]]</f>
        <v>0.25280326197757408</v>
      </c>
      <c r="H76" s="31"/>
    </row>
    <row r="77" spans="1:8" x14ac:dyDescent="0.25">
      <c r="A77" s="11">
        <v>42826</v>
      </c>
      <c r="B77" s="12">
        <v>1267.6500000000001</v>
      </c>
      <c r="C77" s="12">
        <v>1351.9</v>
      </c>
      <c r="D77" s="13">
        <f>YEAR(Tabela13[[#This Row],[Datum]])</f>
        <v>2017</v>
      </c>
      <c r="E77" s="13">
        <f>MONTH(Tabela13[[#This Row],[Datum]])</f>
        <v>4</v>
      </c>
      <c r="F77" s="14">
        <f>(B78-Tabela13[[#This Row],[Zlato]])/Tabela13[[#This Row],[Zlato]]</f>
        <v>3.4709896264728209E-4</v>
      </c>
      <c r="G77" s="14">
        <f>(C78-Tabela13[[#This Row],[Kriptovalute]])/Tabela13[[#This Row],[Kriptovalute]]</f>
        <v>0.70375027738738072</v>
      </c>
      <c r="H77" s="31"/>
    </row>
    <row r="78" spans="1:8" x14ac:dyDescent="0.25">
      <c r="A78" s="11">
        <v>42856</v>
      </c>
      <c r="B78" s="12">
        <v>1268.0899999999999</v>
      </c>
      <c r="C78" s="12">
        <v>2303.3000000000002</v>
      </c>
      <c r="D78" s="13">
        <f>YEAR(Tabela13[[#This Row],[Datum]])</f>
        <v>2017</v>
      </c>
      <c r="E78" s="13">
        <f>MONTH(Tabela13[[#This Row],[Datum]])</f>
        <v>5</v>
      </c>
      <c r="F78" s="14">
        <f>(B79-Tabela13[[#This Row],[Zlato]])/Tabela13[[#This Row],[Zlato]]</f>
        <v>-2.1205119510444743E-2</v>
      </c>
      <c r="G78" s="14">
        <f>(C79-Tabela13[[#This Row],[Kriptovalute]])/Tabela13[[#This Row],[Kriptovalute]]</f>
        <v>7.697651196109917E-2</v>
      </c>
      <c r="H78" s="31"/>
    </row>
    <row r="79" spans="1:8" x14ac:dyDescent="0.25">
      <c r="A79" s="11">
        <v>42887</v>
      </c>
      <c r="B79" s="12">
        <v>1241.2</v>
      </c>
      <c r="C79" s="12">
        <v>2480.6</v>
      </c>
      <c r="D79" s="13">
        <f>YEAR(Tabela13[[#This Row],[Datum]])</f>
        <v>2017</v>
      </c>
      <c r="E79" s="13">
        <f>MONTH(Tabela13[[#This Row],[Datum]])</f>
        <v>6</v>
      </c>
      <c r="F79" s="14">
        <f>(B80-Tabela13[[#This Row],[Zlato]])/Tabela13[[#This Row],[Zlato]]</f>
        <v>2.2437963261359901E-2</v>
      </c>
      <c r="G79" s="14">
        <f>(C80-Tabela13[[#This Row],[Kriptovalute]])/Tabela13[[#This Row],[Kriptovalute]]</f>
        <v>0.16233975651052177</v>
      </c>
      <c r="H79" s="31"/>
    </row>
    <row r="80" spans="1:8" x14ac:dyDescent="0.25">
      <c r="A80" s="11">
        <v>42917</v>
      </c>
      <c r="B80" s="12">
        <v>1269.05</v>
      </c>
      <c r="C80" s="12">
        <v>2883.3</v>
      </c>
      <c r="D80" s="13">
        <f>YEAR(Tabela13[[#This Row],[Datum]])</f>
        <v>2017</v>
      </c>
      <c r="E80" s="13">
        <f>MONTH(Tabela13[[#This Row],[Datum]])</f>
        <v>7</v>
      </c>
      <c r="F80" s="14">
        <f>(B81-Tabela13[[#This Row],[Zlato]])/Tabela13[[#This Row],[Zlato]]</f>
        <v>4.1408927938221471E-2</v>
      </c>
      <c r="G80" s="14">
        <f>(C81-Tabela13[[#This Row],[Kriptovalute]])/Tabela13[[#This Row],[Kriptovalute]]</f>
        <v>0.64225019942427086</v>
      </c>
      <c r="H80" s="31"/>
    </row>
    <row r="81" spans="1:8" x14ac:dyDescent="0.25">
      <c r="A81" s="11">
        <v>42948</v>
      </c>
      <c r="B81" s="12">
        <v>1321.6</v>
      </c>
      <c r="C81" s="12">
        <v>4735.1000000000004</v>
      </c>
      <c r="D81" s="13">
        <f>YEAR(Tabela13[[#This Row],[Datum]])</f>
        <v>2017</v>
      </c>
      <c r="E81" s="13">
        <f>MONTH(Tabela13[[#This Row],[Datum]])</f>
        <v>8</v>
      </c>
      <c r="F81" s="14">
        <f>(B82-Tabela13[[#This Row],[Zlato]])/Tabela13[[#This Row],[Zlato]]</f>
        <v>-3.2157990314769978E-2</v>
      </c>
      <c r="G81" s="14">
        <f>(C82-Tabela13[[#This Row],[Kriptovalute]])/Tabela13[[#This Row],[Kriptovalute]]</f>
        <v>-7.9090198728643535E-2</v>
      </c>
      <c r="H81" s="31"/>
    </row>
    <row r="82" spans="1:8" x14ac:dyDescent="0.25">
      <c r="A82" s="11">
        <v>42979</v>
      </c>
      <c r="B82" s="12">
        <v>1279.0999999999999</v>
      </c>
      <c r="C82" s="12">
        <v>4360.6000000000004</v>
      </c>
      <c r="D82" s="13">
        <f>YEAR(Tabela13[[#This Row],[Datum]])</f>
        <v>2017</v>
      </c>
      <c r="E82" s="13">
        <f>MONTH(Tabela13[[#This Row],[Datum]])</f>
        <v>9</v>
      </c>
      <c r="F82" s="14">
        <f>(B83-Tabela13[[#This Row],[Zlato]])/Tabela13[[#This Row],[Zlato]]</f>
        <v>-6.1762176530371854E-3</v>
      </c>
      <c r="G82" s="14">
        <f>(C83-Tabela13[[#This Row],[Kriptovalute]])/Tabela13[[#This Row],[Kriptovalute]]</f>
        <v>0.47942943631610313</v>
      </c>
      <c r="H82" s="31"/>
    </row>
    <row r="83" spans="1:8" x14ac:dyDescent="0.25">
      <c r="A83" s="11">
        <v>43009</v>
      </c>
      <c r="B83" s="12">
        <v>1271.2</v>
      </c>
      <c r="C83" s="12">
        <v>6451.2</v>
      </c>
      <c r="D83" s="13">
        <f>YEAR(Tabela13[[#This Row],[Datum]])</f>
        <v>2017</v>
      </c>
      <c r="E83" s="13">
        <f>MONTH(Tabela13[[#This Row],[Datum]])</f>
        <v>10</v>
      </c>
      <c r="F83" s="14">
        <f>(B84-Tabela13[[#This Row],[Zlato]])/Tabela13[[#This Row],[Zlato]]</f>
        <v>2.4858401510382743E-3</v>
      </c>
      <c r="G83" s="14">
        <f>(C84-Tabela13[[#This Row],[Kriptovalute]])/Tabela13[[#This Row],[Kriptovalute]]</f>
        <v>0.54185267857142849</v>
      </c>
      <c r="H83" s="31"/>
    </row>
    <row r="84" spans="1:8" x14ac:dyDescent="0.25">
      <c r="A84" s="11">
        <v>43040</v>
      </c>
      <c r="B84" s="12">
        <v>1274.3599999999999</v>
      </c>
      <c r="C84" s="12">
        <v>9946.7999999999993</v>
      </c>
      <c r="D84" s="13">
        <f>YEAR(Tabela13[[#This Row],[Datum]])</f>
        <v>2017</v>
      </c>
      <c r="E84" s="13">
        <f>MONTH(Tabela13[[#This Row],[Datum]])</f>
        <v>11</v>
      </c>
      <c r="F84" s="14">
        <f>(B85-Tabela13[[#This Row],[Zlato]])/Tabela13[[#This Row],[Zlato]]</f>
        <v>2.2042436987978396E-2</v>
      </c>
      <c r="G84" s="14">
        <f>(C85-Tabela13[[#This Row],[Kriptovalute]])/Tabela13[[#This Row],[Kriptovalute]]</f>
        <v>0.39244782241524917</v>
      </c>
      <c r="H84" s="31"/>
    </row>
    <row r="85" spans="1:8" x14ac:dyDescent="0.25">
      <c r="A85" s="11">
        <v>43070</v>
      </c>
      <c r="B85" s="12">
        <v>1302.45</v>
      </c>
      <c r="C85" s="12">
        <v>13850.4</v>
      </c>
      <c r="D85" s="13">
        <f>YEAR(Tabela13[[#This Row],[Datum]])</f>
        <v>2017</v>
      </c>
      <c r="E85" s="13">
        <f>MONTH(Tabela13[[#This Row],[Datum]])</f>
        <v>12</v>
      </c>
      <c r="F85" s="14">
        <f>(B86-Tabela13[[#This Row],[Zlato]])/Tabela13[[#This Row],[Zlato]]</f>
        <v>3.24388652155553E-2</v>
      </c>
      <c r="G85" s="14">
        <f>(C86-Tabela13[[#This Row],[Kriptovalute]])/Tabela13[[#This Row],[Kriptovalute]]</f>
        <v>-0.25883728989776467</v>
      </c>
      <c r="H85" s="31"/>
    </row>
    <row r="86" spans="1:8" x14ac:dyDescent="0.25">
      <c r="A86" s="11">
        <v>43101</v>
      </c>
      <c r="B86" s="12">
        <v>1344.7</v>
      </c>
      <c r="C86" s="12">
        <v>10265.4</v>
      </c>
      <c r="D86" s="13">
        <f>YEAR(Tabela13[[#This Row],[Datum]])</f>
        <v>2018</v>
      </c>
      <c r="E86" s="13">
        <f>MONTH(Tabela13[[#This Row],[Datum]])</f>
        <v>1</v>
      </c>
      <c r="F86" s="14">
        <f>(B87-Tabela13[[#This Row],[Zlato]])/Tabela13[[#This Row],[Zlato]]</f>
        <v>-2.0108574403212585E-2</v>
      </c>
      <c r="G86" s="14">
        <f>(C87-Tabela13[[#This Row],[Kriptovalute]])/Tabela13[[#This Row],[Kriptovalute]]</f>
        <v>6.6729012020963624E-3</v>
      </c>
      <c r="H86" s="31"/>
    </row>
    <row r="87" spans="1:8" x14ac:dyDescent="0.25">
      <c r="A87" s="11">
        <v>43132</v>
      </c>
      <c r="B87" s="12">
        <v>1317.66</v>
      </c>
      <c r="C87" s="12">
        <v>10333.9</v>
      </c>
      <c r="D87" s="13">
        <f>YEAR(Tabela13[[#This Row],[Datum]])</f>
        <v>2018</v>
      </c>
      <c r="E87" s="13">
        <f>MONTH(Tabela13[[#This Row],[Datum]])</f>
        <v>2</v>
      </c>
      <c r="F87" s="14">
        <f>(B88-Tabela13[[#This Row],[Zlato]])/Tabela13[[#This Row],[Zlato]]</f>
        <v>4.8115598864653386E-3</v>
      </c>
      <c r="G87" s="14">
        <f>(C88-Tabela13[[#This Row],[Kriptovalute]])/Tabela13[[#This Row],[Kriptovalute]]</f>
        <v>-0.32859810913595061</v>
      </c>
      <c r="H87" s="31"/>
    </row>
    <row r="88" spans="1:8" x14ac:dyDescent="0.25">
      <c r="A88" s="11">
        <v>43160</v>
      </c>
      <c r="B88" s="12">
        <v>1324</v>
      </c>
      <c r="C88" s="12">
        <v>6938.2</v>
      </c>
      <c r="D88" s="13">
        <f>YEAR(Tabela13[[#This Row],[Datum]])</f>
        <v>2018</v>
      </c>
      <c r="E88" s="13">
        <f>MONTH(Tabela13[[#This Row],[Datum]])</f>
        <v>3</v>
      </c>
      <c r="F88" s="14">
        <f>(B89-Tabela13[[#This Row],[Zlato]])/Tabela13[[#This Row],[Zlato]]</f>
        <v>-6.8353474320241346E-3</v>
      </c>
      <c r="G88" s="14">
        <f>(C89-Tabela13[[#This Row],[Kriptovalute]])/Tabela13[[#This Row],[Kriptovalute]]</f>
        <v>0.33249257732553122</v>
      </c>
      <c r="H88" s="31"/>
    </row>
    <row r="89" spans="1:8" x14ac:dyDescent="0.25">
      <c r="A89" s="11">
        <v>43191</v>
      </c>
      <c r="B89" s="12">
        <v>1314.95</v>
      </c>
      <c r="C89" s="12">
        <v>9245.1</v>
      </c>
      <c r="D89" s="13">
        <f>YEAR(Tabela13[[#This Row],[Datum]])</f>
        <v>2018</v>
      </c>
      <c r="E89" s="13">
        <f>MONTH(Tabela13[[#This Row],[Datum]])</f>
        <v>4</v>
      </c>
      <c r="F89" s="14">
        <f>(B90-Tabela13[[#This Row],[Zlato]])/Tabela13[[#This Row],[Zlato]]</f>
        <v>-1.2951062778052377E-2</v>
      </c>
      <c r="G89" s="14">
        <f>(C90-Tabela13[[#This Row],[Kriptovalute]])/Tabela13[[#This Row],[Kriptovalute]]</f>
        <v>-0.18847822089539323</v>
      </c>
      <c r="H89" s="31"/>
    </row>
    <row r="90" spans="1:8" x14ac:dyDescent="0.25">
      <c r="A90" s="11">
        <v>43221</v>
      </c>
      <c r="B90" s="12">
        <v>1297.92</v>
      </c>
      <c r="C90" s="12">
        <v>7502.6</v>
      </c>
      <c r="D90" s="13">
        <f>YEAR(Tabela13[[#This Row],[Datum]])</f>
        <v>2018</v>
      </c>
      <c r="E90" s="13">
        <f>MONTH(Tabela13[[#This Row],[Datum]])</f>
        <v>5</v>
      </c>
      <c r="F90" s="14">
        <f>(B91-Tabela13[[#This Row],[Zlato]])/Tabela13[[#This Row],[Zlato]]</f>
        <v>-3.5187068540433977E-2</v>
      </c>
      <c r="G90" s="14">
        <f>(C91-Tabela13[[#This Row],[Kriptovalute]])/Tabela13[[#This Row],[Kriptovalute]]</f>
        <v>-0.1471090022125664</v>
      </c>
      <c r="H90" s="31"/>
    </row>
    <row r="91" spans="1:8" x14ac:dyDescent="0.25">
      <c r="A91" s="11">
        <v>43252</v>
      </c>
      <c r="B91" s="12">
        <v>1252.25</v>
      </c>
      <c r="C91" s="12">
        <v>6398.9</v>
      </c>
      <c r="D91" s="13">
        <f>YEAR(Tabela13[[#This Row],[Datum]])</f>
        <v>2018</v>
      </c>
      <c r="E91" s="13">
        <f>MONTH(Tabela13[[#This Row],[Datum]])</f>
        <v>6</v>
      </c>
      <c r="F91" s="14">
        <f>(B92-Tabela13[[#This Row],[Zlato]])/Tabela13[[#This Row],[Zlato]]</f>
        <v>-2.3030545018965797E-2</v>
      </c>
      <c r="G91" s="14">
        <f>(C92-Tabela13[[#This Row],[Kriptovalute]])/Tabela13[[#This Row],[Kriptovalute]]</f>
        <v>0.20792636234352779</v>
      </c>
      <c r="H91" s="31"/>
    </row>
    <row r="92" spans="1:8" x14ac:dyDescent="0.25">
      <c r="A92" s="11">
        <v>43282</v>
      </c>
      <c r="B92" s="12">
        <v>1223.4100000000001</v>
      </c>
      <c r="C92" s="12">
        <v>7729.4</v>
      </c>
      <c r="D92" s="13">
        <f>YEAR(Tabela13[[#This Row],[Datum]])</f>
        <v>2018</v>
      </c>
      <c r="E92" s="13">
        <f>MONTH(Tabela13[[#This Row],[Datum]])</f>
        <v>7</v>
      </c>
      <c r="F92" s="14">
        <f>(B93-Tabela13[[#This Row],[Zlato]])/Tabela13[[#This Row],[Zlato]]</f>
        <v>-1.8554695482299509E-2</v>
      </c>
      <c r="G92" s="14">
        <f>(C93-Tabela13[[#This Row],[Kriptovalute]])/Tabela13[[#This Row],[Kriptovalute]]</f>
        <v>-8.9994048697182125E-2</v>
      </c>
      <c r="H92" s="31"/>
    </row>
    <row r="93" spans="1:8" x14ac:dyDescent="0.25">
      <c r="A93" s="11">
        <v>43313</v>
      </c>
      <c r="B93" s="12">
        <v>1200.71</v>
      </c>
      <c r="C93" s="12">
        <v>7033.8</v>
      </c>
      <c r="D93" s="13">
        <f>YEAR(Tabela13[[#This Row],[Datum]])</f>
        <v>2018</v>
      </c>
      <c r="E93" s="13">
        <f>MONTH(Tabela13[[#This Row],[Datum]])</f>
        <v>8</v>
      </c>
      <c r="F93" s="14">
        <f>(B94-Tabela13[[#This Row],[Zlato]])/Tabela13[[#This Row],[Zlato]]</f>
        <v>-7.5122219353548998E-3</v>
      </c>
      <c r="G93" s="14">
        <f>(C94-Tabela13[[#This Row],[Kriptovalute]])/Tabela13[[#This Row],[Kriptovalute]]</f>
        <v>-5.6669225738576641E-2</v>
      </c>
      <c r="H93" s="31"/>
    </row>
    <row r="94" spans="1:8" x14ac:dyDescent="0.25">
      <c r="A94" s="11">
        <v>43344</v>
      </c>
      <c r="B94" s="12">
        <v>1191.69</v>
      </c>
      <c r="C94" s="12">
        <v>6635.2</v>
      </c>
      <c r="D94" s="13">
        <f>YEAR(Tabela13[[#This Row],[Datum]])</f>
        <v>2018</v>
      </c>
      <c r="E94" s="13">
        <f>MONTH(Tabela13[[#This Row],[Datum]])</f>
        <v>9</v>
      </c>
      <c r="F94" s="14">
        <f>(B95-Tabela13[[#This Row],[Zlato]])/Tabela13[[#This Row],[Zlato]]</f>
        <v>1.883879196770976E-2</v>
      </c>
      <c r="G94" s="14">
        <f>(C95-Tabela13[[#This Row],[Kriptovalute]])/Tabela13[[#This Row],[Kriptovalute]]</f>
        <v>-4.0586568603810012E-2</v>
      </c>
      <c r="H94" s="31"/>
    </row>
    <row r="95" spans="1:8" x14ac:dyDescent="0.25">
      <c r="A95" s="11">
        <v>43374</v>
      </c>
      <c r="B95" s="12">
        <v>1214.1400000000001</v>
      </c>
      <c r="C95" s="12">
        <v>6365.9</v>
      </c>
      <c r="D95" s="13">
        <f>YEAR(Tabela13[[#This Row],[Datum]])</f>
        <v>2018</v>
      </c>
      <c r="E95" s="13">
        <f>MONTH(Tabela13[[#This Row],[Datum]])</f>
        <v>10</v>
      </c>
      <c r="F95" s="14">
        <f>(B96-Tabela13[[#This Row],[Zlato]])/Tabela13[[#This Row],[Zlato]]</f>
        <v>6.3748826329747873E-3</v>
      </c>
      <c r="G95" s="14">
        <f>(C96-Tabela13[[#This Row],[Kriptovalute]])/Tabela13[[#This Row],[Kriptovalute]]</f>
        <v>-0.3654157306900831</v>
      </c>
      <c r="H95" s="31"/>
    </row>
    <row r="96" spans="1:8" x14ac:dyDescent="0.25">
      <c r="A96" s="11">
        <v>43405</v>
      </c>
      <c r="B96" s="12">
        <v>1221.8800000000001</v>
      </c>
      <c r="C96" s="12">
        <v>4039.7</v>
      </c>
      <c r="D96" s="13">
        <f>YEAR(Tabela13[[#This Row],[Datum]])</f>
        <v>2018</v>
      </c>
      <c r="E96" s="13">
        <f>MONTH(Tabela13[[#This Row],[Datum]])</f>
        <v>11</v>
      </c>
      <c r="F96" s="14">
        <f>(B97-Tabela13[[#This Row],[Zlato]])/Tabela13[[#This Row],[Zlato]]</f>
        <v>4.9800307722525868E-2</v>
      </c>
      <c r="G96" s="14">
        <f>(C97-Tabela13[[#This Row],[Kriptovalute]])/Tabela13[[#This Row],[Kriptovalute]]</f>
        <v>-8.1763497289402617E-2</v>
      </c>
      <c r="H96" s="31"/>
    </row>
    <row r="97" spans="1:8" x14ac:dyDescent="0.25">
      <c r="A97" s="11">
        <v>43435</v>
      </c>
      <c r="B97" s="12">
        <v>1282.73</v>
      </c>
      <c r="C97" s="12">
        <v>3709.4</v>
      </c>
      <c r="D97" s="13">
        <f>YEAR(Tabela13[[#This Row],[Datum]])</f>
        <v>2018</v>
      </c>
      <c r="E97" s="13">
        <f>MONTH(Tabela13[[#This Row],[Datum]])</f>
        <v>12</v>
      </c>
      <c r="F97" s="14">
        <f>(B98-Tabela13[[#This Row],[Zlato]])/Tabela13[[#This Row],[Zlato]]</f>
        <v>2.9491787047936764E-2</v>
      </c>
      <c r="G97" s="14">
        <f>(C98-Tabela13[[#This Row],[Kriptovalute]])/Tabela13[[#This Row],[Kriptovalute]]</f>
        <v>-7.3381139806976942E-2</v>
      </c>
      <c r="H97" s="31"/>
    </row>
    <row r="98" spans="1:8" x14ac:dyDescent="0.25">
      <c r="A98" s="11">
        <v>43466</v>
      </c>
      <c r="B98" s="12">
        <v>1320.56</v>
      </c>
      <c r="C98" s="12">
        <v>3437.2</v>
      </c>
      <c r="D98" s="13">
        <f>YEAR(Tabela13[[#This Row],[Datum]])</f>
        <v>2019</v>
      </c>
      <c r="E98" s="13">
        <f>MONTH(Tabela13[[#This Row],[Datum]])</f>
        <v>1</v>
      </c>
      <c r="F98" s="14">
        <f>(B99-Tabela13[[#This Row],[Zlato]])/Tabela13[[#This Row],[Zlato]]</f>
        <v>-5.9823105349244747E-3</v>
      </c>
      <c r="G98" s="14">
        <f>(C99-Tabela13[[#This Row],[Kriptovalute]])/Tabela13[[#This Row],[Kriptovalute]]</f>
        <v>0.11038054230187365</v>
      </c>
      <c r="H98" s="31"/>
    </row>
    <row r="99" spans="1:8" x14ac:dyDescent="0.25">
      <c r="A99" s="11">
        <v>43497</v>
      </c>
      <c r="B99" s="12">
        <v>1312.66</v>
      </c>
      <c r="C99" s="12">
        <v>3816.6</v>
      </c>
      <c r="D99" s="13">
        <f>YEAR(Tabela13[[#This Row],[Datum]])</f>
        <v>2019</v>
      </c>
      <c r="E99" s="13">
        <f>MONTH(Tabela13[[#This Row],[Datum]])</f>
        <v>2</v>
      </c>
      <c r="F99" s="14">
        <f>(B100-Tabela13[[#This Row],[Zlato]])/Tabela13[[#This Row],[Zlato]]</f>
        <v>-1.5815214907135122E-2</v>
      </c>
      <c r="G99" s="14">
        <f>(C100-Tabela13[[#This Row],[Kriptovalute]])/Tabela13[[#This Row],[Kriptovalute]]</f>
        <v>7.4857202745899562E-2</v>
      </c>
      <c r="H99" s="31"/>
    </row>
    <row r="100" spans="1:8" x14ac:dyDescent="0.25">
      <c r="A100" s="11">
        <v>43525</v>
      </c>
      <c r="B100" s="12">
        <v>1291.9000000000001</v>
      </c>
      <c r="C100" s="12">
        <v>4102.3</v>
      </c>
      <c r="D100" s="13">
        <f>YEAR(Tabela13[[#This Row],[Datum]])</f>
        <v>2019</v>
      </c>
      <c r="E100" s="13">
        <f>MONTH(Tabela13[[#This Row],[Datum]])</f>
        <v>3</v>
      </c>
      <c r="F100" s="14">
        <f>(B101-Tabela13[[#This Row],[Zlato]])/Tabela13[[#This Row],[Zlato]]</f>
        <v>-6.6181593002555784E-3</v>
      </c>
      <c r="G100" s="14">
        <f>(C101-Tabela13[[#This Row],[Kriptovalute]])/Tabela13[[#This Row],[Kriptovalute]]</f>
        <v>0.29702849620944349</v>
      </c>
      <c r="H100" s="31"/>
    </row>
    <row r="101" spans="1:8" x14ac:dyDescent="0.25">
      <c r="A101" s="11">
        <v>43556</v>
      </c>
      <c r="B101" s="12">
        <v>1283.3499999999999</v>
      </c>
      <c r="C101" s="12">
        <v>5320.8</v>
      </c>
      <c r="D101" s="13">
        <f>YEAR(Tabela13[[#This Row],[Datum]])</f>
        <v>2019</v>
      </c>
      <c r="E101" s="13">
        <f>MONTH(Tabela13[[#This Row],[Datum]])</f>
        <v>4</v>
      </c>
      <c r="F101" s="14">
        <f>(B102-Tabela13[[#This Row],[Zlato]])/Tabela13[[#This Row],[Zlato]]</f>
        <v>1.7064713445280003E-2</v>
      </c>
      <c r="G101" s="14">
        <f>(C102-Tabela13[[#This Row],[Kriptovalute]])/Tabela13[[#This Row],[Kriptovalute]]</f>
        <v>0.60846113366411048</v>
      </c>
      <c r="H101" s="31"/>
    </row>
    <row r="102" spans="1:8" x14ac:dyDescent="0.25">
      <c r="A102" s="11">
        <v>43586</v>
      </c>
      <c r="B102" s="12">
        <v>1305.25</v>
      </c>
      <c r="C102" s="12">
        <v>8558.2999999999993</v>
      </c>
      <c r="D102" s="13">
        <f>YEAR(Tabela13[[#This Row],[Datum]])</f>
        <v>2019</v>
      </c>
      <c r="E102" s="13">
        <f>MONTH(Tabela13[[#This Row],[Datum]])</f>
        <v>5</v>
      </c>
      <c r="F102" s="14">
        <f>(B103-Tabela13[[#This Row],[Zlato]])/Tabela13[[#This Row],[Zlato]]</f>
        <v>7.9563302049415752E-2</v>
      </c>
      <c r="G102" s="14">
        <f>(C103-Tabela13[[#This Row],[Kriptovalute]])/Tabela13[[#This Row],[Kriptovalute]]</f>
        <v>0.26410618931329838</v>
      </c>
      <c r="H102" s="31"/>
    </row>
    <row r="103" spans="1:8" x14ac:dyDescent="0.25">
      <c r="A103" s="11">
        <v>43617</v>
      </c>
      <c r="B103" s="12">
        <v>1409.1</v>
      </c>
      <c r="C103" s="12">
        <v>10818.6</v>
      </c>
      <c r="D103" s="13">
        <f>YEAR(Tabela13[[#This Row],[Datum]])</f>
        <v>2019</v>
      </c>
      <c r="E103" s="13">
        <f>MONTH(Tabela13[[#This Row],[Datum]])</f>
        <v>6</v>
      </c>
      <c r="F103" s="14">
        <f>(B104-Tabela13[[#This Row],[Zlato]])/Tabela13[[#This Row],[Zlato]]</f>
        <v>3.1580441416507316E-3</v>
      </c>
      <c r="G103" s="14">
        <f>(C104-Tabela13[[#This Row],[Kriptovalute]])/Tabela13[[#This Row],[Kriptovalute]]</f>
        <v>-6.8086443717301715E-2</v>
      </c>
      <c r="H103" s="31"/>
    </row>
    <row r="104" spans="1:8" x14ac:dyDescent="0.25">
      <c r="A104" s="11">
        <v>43647</v>
      </c>
      <c r="B104" s="12">
        <v>1413.55</v>
      </c>
      <c r="C104" s="12">
        <v>10082</v>
      </c>
      <c r="D104" s="13">
        <f>YEAR(Tabela13[[#This Row],[Datum]])</f>
        <v>2019</v>
      </c>
      <c r="E104" s="13">
        <f>MONTH(Tabela13[[#This Row],[Datum]])</f>
        <v>7</v>
      </c>
      <c r="F104" s="14">
        <f>(B105-Tabela13[[#This Row],[Zlato]])/Tabela13[[#This Row],[Zlato]]</f>
        <v>7.5200735736266816E-2</v>
      </c>
      <c r="G104" s="14">
        <f>(C105-Tabela13[[#This Row],[Kriptovalute]])/Tabela13[[#This Row],[Kriptovalute]]</f>
        <v>-4.83634199563579E-2</v>
      </c>
      <c r="H104" s="31"/>
    </row>
    <row r="105" spans="1:8" x14ac:dyDescent="0.25">
      <c r="A105" s="11">
        <v>43678</v>
      </c>
      <c r="B105" s="12">
        <v>1519.85</v>
      </c>
      <c r="C105" s="12">
        <v>9594.4</v>
      </c>
      <c r="D105" s="13">
        <f>YEAR(Tabela13[[#This Row],[Datum]])</f>
        <v>2019</v>
      </c>
      <c r="E105" s="13">
        <f>MONTH(Tabela13[[#This Row],[Datum]])</f>
        <v>8</v>
      </c>
      <c r="F105" s="14">
        <f>(B106-Tabela13[[#This Row],[Zlato]])/Tabela13[[#This Row],[Zlato]]</f>
        <v>-3.1483370069414686E-2</v>
      </c>
      <c r="G105" s="14">
        <f>(C106-Tabela13[[#This Row],[Kriptovalute]])/Tabela13[[#This Row],[Kriptovalute]]</f>
        <v>-0.13654840323522058</v>
      </c>
      <c r="H105" s="31"/>
    </row>
    <row r="106" spans="1:8" x14ac:dyDescent="0.25">
      <c r="A106" s="11">
        <v>43709</v>
      </c>
      <c r="B106" s="12">
        <v>1472</v>
      </c>
      <c r="C106" s="12">
        <v>8284.2999999999993</v>
      </c>
      <c r="D106" s="13">
        <f>YEAR(Tabela13[[#This Row],[Datum]])</f>
        <v>2019</v>
      </c>
      <c r="E106" s="13">
        <f>MONTH(Tabela13[[#This Row],[Datum]])</f>
        <v>9</v>
      </c>
      <c r="F106" s="14">
        <f>(B107-Tabela13[[#This Row],[Zlato]])/Tabela13[[#This Row],[Zlato]]</f>
        <v>2.7961956521739186E-2</v>
      </c>
      <c r="G106" s="14">
        <f>(C107-Tabela13[[#This Row],[Kriptovalute]])/Tabela13[[#This Row],[Kriptovalute]]</f>
        <v>0.10481271803290576</v>
      </c>
      <c r="H106" s="31"/>
    </row>
    <row r="107" spans="1:8" x14ac:dyDescent="0.25">
      <c r="A107" s="11">
        <v>43739</v>
      </c>
      <c r="B107" s="12">
        <v>1513.16</v>
      </c>
      <c r="C107" s="12">
        <v>9152.6</v>
      </c>
      <c r="D107" s="13">
        <f>YEAR(Tabela13[[#This Row],[Datum]])</f>
        <v>2019</v>
      </c>
      <c r="E107" s="13">
        <f>MONTH(Tabela13[[#This Row],[Datum]])</f>
        <v>10</v>
      </c>
      <c r="F107" s="14">
        <f>(B108-Tabela13[[#This Row],[Zlato]])/Tabela13[[#This Row],[Zlato]]</f>
        <v>-3.2554389489545053E-2</v>
      </c>
      <c r="G107" s="14">
        <f>(C108-Tabela13[[#This Row],[Kriptovalute]])/Tabela13[[#This Row],[Kriptovalute]]</f>
        <v>-0.17546926556388348</v>
      </c>
      <c r="H107" s="31"/>
    </row>
    <row r="108" spans="1:8" x14ac:dyDescent="0.25">
      <c r="A108" s="11">
        <v>43770</v>
      </c>
      <c r="B108" s="12">
        <v>1463.9</v>
      </c>
      <c r="C108" s="12">
        <v>7546.6</v>
      </c>
      <c r="D108" s="13">
        <f>YEAR(Tabela13[[#This Row],[Datum]])</f>
        <v>2019</v>
      </c>
      <c r="E108" s="13">
        <f>MONTH(Tabela13[[#This Row],[Datum]])</f>
        <v>11</v>
      </c>
      <c r="F108" s="14">
        <f>(B109-Tabela13[[#This Row],[Zlato]])/Tabela13[[#This Row],[Zlato]]</f>
        <v>3.627980053282321E-2</v>
      </c>
      <c r="G108" s="14">
        <f>(C109-Tabela13[[#This Row],[Kriptovalute]])/Tabela13[[#This Row],[Kriptovalute]]</f>
        <v>-4.6405003577770214E-2</v>
      </c>
      <c r="H108" s="31"/>
    </row>
    <row r="109" spans="1:8" x14ac:dyDescent="0.25">
      <c r="A109" s="11">
        <v>43800</v>
      </c>
      <c r="B109" s="12">
        <v>1517.01</v>
      </c>
      <c r="C109" s="12">
        <v>7196.4</v>
      </c>
      <c r="D109" s="13">
        <f>YEAR(Tabela13[[#This Row],[Datum]])</f>
        <v>2019</v>
      </c>
      <c r="E109" s="13">
        <f>MONTH(Tabela13[[#This Row],[Datum]])</f>
        <v>12</v>
      </c>
      <c r="F109" s="14">
        <f>(B110-Tabela13[[#This Row],[Zlato]])/Tabela13[[#This Row],[Zlato]]</f>
        <v>4.7989136525138233E-2</v>
      </c>
      <c r="G109" s="14">
        <f>(C110-Tabela13[[#This Row],[Kriptovalute]])/Tabela13[[#This Row],[Kriptovalute]]</f>
        <v>0.29913567895058651</v>
      </c>
      <c r="H109" s="31"/>
    </row>
    <row r="110" spans="1:8" x14ac:dyDescent="0.25">
      <c r="A110" s="11">
        <v>43831</v>
      </c>
      <c r="B110" s="12">
        <v>1589.81</v>
      </c>
      <c r="C110" s="12">
        <v>9349.1</v>
      </c>
      <c r="D110" s="13">
        <f>YEAR(Tabela13[[#This Row],[Datum]])</f>
        <v>2020</v>
      </c>
      <c r="E110" s="13">
        <f>MONTH(Tabela13[[#This Row],[Datum]])</f>
        <v>1</v>
      </c>
      <c r="F110" s="14">
        <f>(B111-Tabela13[[#This Row],[Zlato]])/Tabela13[[#This Row],[Zlato]]</f>
        <v>-3.1890603279636789E-3</v>
      </c>
      <c r="G110" s="14">
        <f>(C111-Tabela13[[#This Row],[Kriptovalute]])/Tabela13[[#This Row],[Kriptovalute]]</f>
        <v>-8.614732968948878E-2</v>
      </c>
      <c r="H110" s="31"/>
    </row>
    <row r="111" spans="1:8" x14ac:dyDescent="0.25">
      <c r="A111" s="11">
        <v>43862</v>
      </c>
      <c r="B111" s="12">
        <v>1584.74</v>
      </c>
      <c r="C111" s="12">
        <v>8543.7000000000007</v>
      </c>
      <c r="D111" s="13">
        <f>YEAR(Tabela13[[#This Row],[Datum]])</f>
        <v>2020</v>
      </c>
      <c r="E111" s="13">
        <f>MONTH(Tabela13[[#This Row],[Datum]])</f>
        <v>2</v>
      </c>
      <c r="F111" s="14">
        <f>(B112-Tabela13[[#This Row],[Zlato]])/Tabela13[[#This Row],[Zlato]]</f>
        <v>-8.6386410389086253E-3</v>
      </c>
      <c r="G111" s="14">
        <f>(C112-Tabela13[[#This Row],[Kriptovalute]])/Tabela13[[#This Row],[Kriptovalute]]</f>
        <v>-0.24944696091857163</v>
      </c>
      <c r="H111" s="31"/>
    </row>
    <row r="112" spans="1:8" x14ac:dyDescent="0.25">
      <c r="A112" s="11">
        <v>43891</v>
      </c>
      <c r="B112" s="12">
        <v>1571.05</v>
      </c>
      <c r="C112" s="12">
        <v>6412.5</v>
      </c>
      <c r="D112" s="13">
        <f>YEAR(Tabela13[[#This Row],[Datum]])</f>
        <v>2020</v>
      </c>
      <c r="E112" s="13">
        <f>MONTH(Tabela13[[#This Row],[Datum]])</f>
        <v>3</v>
      </c>
      <c r="F112" s="14">
        <f>(B113-Tabela13[[#This Row],[Zlato]])/Tabela13[[#This Row],[Zlato]]</f>
        <v>6.9405811400019071E-2</v>
      </c>
      <c r="G112" s="14">
        <f>(C113-Tabela13[[#This Row],[Kriptovalute]])/Tabela13[[#This Row],[Kriptovalute]]</f>
        <v>0.3456530214424951</v>
      </c>
      <c r="H112" s="31"/>
    </row>
    <row r="113" spans="1:8" x14ac:dyDescent="0.25">
      <c r="A113" s="11">
        <v>43922</v>
      </c>
      <c r="B113" s="12">
        <v>1680.09</v>
      </c>
      <c r="C113" s="12">
        <v>8629</v>
      </c>
      <c r="D113" s="13">
        <f>YEAR(Tabela13[[#This Row],[Datum]])</f>
        <v>2020</v>
      </c>
      <c r="E113" s="13">
        <f>MONTH(Tabela13[[#This Row],[Datum]])</f>
        <v>4</v>
      </c>
      <c r="F113" s="14">
        <f>(B114-Tabela13[[#This Row],[Zlato]])/Tabela13[[#This Row],[Zlato]]</f>
        <v>2.7504478926724186E-2</v>
      </c>
      <c r="G113" s="14">
        <f>(C114-Tabela13[[#This Row],[Kriptovalute]])/Tabela13[[#This Row],[Kriptovalute]]</f>
        <v>9.5700544674933274E-2</v>
      </c>
      <c r="H113" s="31"/>
    </row>
    <row r="114" spans="1:8" x14ac:dyDescent="0.25">
      <c r="A114" s="11">
        <v>43952</v>
      </c>
      <c r="B114" s="12">
        <v>1726.3</v>
      </c>
      <c r="C114" s="12">
        <v>9454.7999999999993</v>
      </c>
      <c r="D114" s="13">
        <f>YEAR(Tabela13[[#This Row],[Datum]])</f>
        <v>2020</v>
      </c>
      <c r="E114" s="13">
        <f>MONTH(Tabela13[[#This Row],[Datum]])</f>
        <v>5</v>
      </c>
      <c r="F114" s="14">
        <f>(B115-Tabela13[[#This Row],[Zlato]])/Tabela13[[#This Row],[Zlato]]</f>
        <v>3.1495105138156822E-2</v>
      </c>
      <c r="G114" s="14">
        <f>(C115-Tabela13[[#This Row],[Kriptovalute]])/Tabela13[[#This Row],[Kriptovalute]]</f>
        <v>-3.3781782798155399E-2</v>
      </c>
      <c r="H114" s="31"/>
    </row>
    <row r="115" spans="1:8" x14ac:dyDescent="0.25">
      <c r="A115" s="11">
        <v>43983</v>
      </c>
      <c r="B115" s="12">
        <v>1780.67</v>
      </c>
      <c r="C115" s="12">
        <v>9135.4</v>
      </c>
      <c r="D115" s="13">
        <f>YEAR(Tabela13[[#This Row],[Datum]])</f>
        <v>2020</v>
      </c>
      <c r="E115" s="13">
        <f>MONTH(Tabela13[[#This Row],[Datum]])</f>
        <v>6</v>
      </c>
      <c r="F115" s="14">
        <f>(B116-Tabela13[[#This Row],[Zlato]])/Tabela13[[#This Row],[Zlato]]</f>
        <v>0.10895898734745908</v>
      </c>
      <c r="G115" s="14">
        <f>(C116-Tabela13[[#This Row],[Kriptovalute]])/Tabela13[[#This Row],[Kriptovalute]]</f>
        <v>0.24060249140705389</v>
      </c>
      <c r="H115" s="31"/>
    </row>
    <row r="116" spans="1:8" x14ac:dyDescent="0.25">
      <c r="A116" s="11">
        <v>44013</v>
      </c>
      <c r="B116" s="12">
        <v>1974.69</v>
      </c>
      <c r="C116" s="12">
        <v>11333.4</v>
      </c>
      <c r="D116" s="13">
        <f>YEAR(Tabela13[[#This Row],[Datum]])</f>
        <v>2020</v>
      </c>
      <c r="E116" s="13">
        <f>MONTH(Tabela13[[#This Row],[Datum]])</f>
        <v>7</v>
      </c>
      <c r="F116" s="14">
        <f>(B117-Tabela13[[#This Row],[Zlato]])/Tabela13[[#This Row],[Zlato]]</f>
        <v>-2.5016584881677904E-3</v>
      </c>
      <c r="G116" s="14">
        <f>(C117-Tabela13[[#This Row],[Kriptovalute]])/Tabela13[[#This Row],[Kriptovalute]]</f>
        <v>2.7423368097834817E-2</v>
      </c>
      <c r="H116" s="31"/>
    </row>
    <row r="117" spans="1:8" x14ac:dyDescent="0.25">
      <c r="A117" s="11">
        <v>44044</v>
      </c>
      <c r="B117" s="12">
        <v>1969.75</v>
      </c>
      <c r="C117" s="12">
        <v>11644.2</v>
      </c>
      <c r="D117" s="13">
        <f>YEAR(Tabela13[[#This Row],[Datum]])</f>
        <v>2020</v>
      </c>
      <c r="E117" s="13">
        <f>MONTH(Tabela13[[#This Row],[Datum]])</f>
        <v>8</v>
      </c>
      <c r="F117" s="14">
        <f>(B118-Tabela13[[#This Row],[Zlato]])/Tabela13[[#This Row],[Zlato]]</f>
        <v>-4.2802386089605252E-2</v>
      </c>
      <c r="G117" s="14">
        <f>(C118-Tabela13[[#This Row],[Kriptovalute]])/Tabela13[[#This Row],[Kriptovalute]]</f>
        <v>-7.4552137544872152E-2</v>
      </c>
      <c r="H117" s="31"/>
    </row>
    <row r="118" spans="1:8" x14ac:dyDescent="0.25">
      <c r="A118" s="11">
        <v>44075</v>
      </c>
      <c r="B118" s="12">
        <v>1885.44</v>
      </c>
      <c r="C118" s="12">
        <v>10776.1</v>
      </c>
      <c r="D118" s="13">
        <f>YEAR(Tabela13[[#This Row],[Datum]])</f>
        <v>2020</v>
      </c>
      <c r="E118" s="13">
        <f>MONTH(Tabela13[[#This Row],[Datum]])</f>
        <v>9</v>
      </c>
      <c r="F118" s="14">
        <f>(B119-Tabela13[[#This Row],[Zlato]])/Tabela13[[#This Row],[Zlato]]</f>
        <v>-3.97254752206382E-3</v>
      </c>
      <c r="G118" s="14">
        <f>(C119-Tabela13[[#This Row],[Kriptovalute]])/Tabela13[[#This Row],[Kriptovalute]]</f>
        <v>0.28036116962537455</v>
      </c>
      <c r="H118" s="31"/>
    </row>
    <row r="119" spans="1:8" x14ac:dyDescent="0.25">
      <c r="A119" s="11">
        <v>44105</v>
      </c>
      <c r="B119" s="12">
        <v>1877.95</v>
      </c>
      <c r="C119" s="12">
        <v>13797.3</v>
      </c>
      <c r="D119" s="13">
        <f>YEAR(Tabela13[[#This Row],[Datum]])</f>
        <v>2020</v>
      </c>
      <c r="E119" s="13">
        <f>MONTH(Tabela13[[#This Row],[Datum]])</f>
        <v>10</v>
      </c>
      <c r="F119" s="14">
        <f>(B120-Tabela13[[#This Row],[Zlato]])/Tabela13[[#This Row],[Zlato]]</f>
        <v>-5.3744774887510352E-2</v>
      </c>
      <c r="G119" s="14">
        <f>(C120-Tabela13[[#This Row],[Kriptovalute]])/Tabela13[[#This Row],[Kriptovalute]]</f>
        <v>0.42767787900531262</v>
      </c>
      <c r="H119" s="31"/>
    </row>
    <row r="120" spans="1:8" x14ac:dyDescent="0.25">
      <c r="A120" s="11">
        <v>44136</v>
      </c>
      <c r="B120" s="12">
        <v>1777.02</v>
      </c>
      <c r="C120" s="12">
        <v>19698.099999999999</v>
      </c>
      <c r="D120" s="13">
        <f>YEAR(Tabela13[[#This Row],[Datum]])</f>
        <v>2020</v>
      </c>
      <c r="E120" s="13">
        <f>MONTH(Tabela13[[#This Row],[Datum]])</f>
        <v>11</v>
      </c>
      <c r="F120" s="14">
        <f>(B121-Tabela13[[#This Row],[Zlato]])/Tabela13[[#This Row],[Zlato]]</f>
        <v>6.7230532014271094E-2</v>
      </c>
      <c r="G120" s="14">
        <f>(C121-Tabela13[[#This Row],[Kriptovalute]])/Tabela13[[#This Row],[Kriptovalute]]</f>
        <v>0.46965443367634457</v>
      </c>
      <c r="H120" s="31"/>
    </row>
    <row r="121" spans="1:8" x14ac:dyDescent="0.25">
      <c r="A121" s="11">
        <v>44166</v>
      </c>
      <c r="B121" s="12">
        <v>1896.49</v>
      </c>
      <c r="C121" s="12">
        <v>28949.4</v>
      </c>
      <c r="D121" s="13">
        <f>YEAR(Tabela13[[#This Row],[Datum]])</f>
        <v>2020</v>
      </c>
      <c r="E121" s="13">
        <f>MONTH(Tabela13[[#This Row],[Datum]])</f>
        <v>12</v>
      </c>
      <c r="F121" s="14">
        <f>(B122-Tabela13[[#This Row],[Zlato]])/Tabela13[[#This Row],[Zlato]]</f>
        <v>-2.657541036335551E-2</v>
      </c>
      <c r="G121" s="14">
        <f>(C122-Tabela13[[#This Row],[Kriptovalute]])/Tabela13[[#This Row],[Kriptovalute]]</f>
        <v>0.14365409991226061</v>
      </c>
      <c r="H121" s="31"/>
    </row>
    <row r="122" spans="1:8" x14ac:dyDescent="0.25">
      <c r="A122" s="11">
        <v>44197</v>
      </c>
      <c r="B122" s="12">
        <v>1846.09</v>
      </c>
      <c r="C122" s="12">
        <v>33108.1</v>
      </c>
      <c r="D122" s="13">
        <f>YEAR(Tabela13[[#This Row],[Datum]])</f>
        <v>2021</v>
      </c>
      <c r="E122" s="13">
        <f>MONTH(Tabela13[[#This Row],[Datum]])</f>
        <v>1</v>
      </c>
      <c r="F122" s="14">
        <f>(B123-Tabela13[[#This Row],[Zlato]])/Tabela13[[#This Row],[Zlato]]</f>
        <v>-6.0993776034754491E-2</v>
      </c>
      <c r="G122" s="14">
        <f>(C123-Tabela13[[#This Row],[Kriptovalute]])/Tabela13[[#This Row],[Kriptovalute]]</f>
        <v>0.36413747693162707</v>
      </c>
      <c r="H122" s="31">
        <f>10000*(1+(Tabela13[[#This Row],[DonosnostZlato]]+Tabela13[[#This Row],[DonosnostKripto]])/2)</f>
        <v>11515.718504484363</v>
      </c>
    </row>
    <row r="123" spans="1:8" x14ac:dyDescent="0.25">
      <c r="A123" s="11">
        <v>44228</v>
      </c>
      <c r="B123" s="12">
        <v>1733.49</v>
      </c>
      <c r="C123" s="12">
        <v>45164</v>
      </c>
      <c r="D123" s="13">
        <f>YEAR(Tabela13[[#This Row],[Datum]])</f>
        <v>2021</v>
      </c>
      <c r="E123" s="13">
        <f>MONTH(Tabela13[[#This Row],[Datum]])</f>
        <v>2</v>
      </c>
      <c r="F123" s="14">
        <f>(B124-Tabela13[[#This Row],[Zlato]])/Tabela13[[#This Row],[Zlato]]</f>
        <v>-1.5275542402898209E-2</v>
      </c>
      <c r="G123" s="14">
        <f>(C124-Tabela13[[#This Row],[Kriptovalute]])/Tabela13[[#This Row],[Kriptovalute]]</f>
        <v>0.3011181471968824</v>
      </c>
      <c r="H123" s="31">
        <f>10000*(1+(Tabela13[[#This Row],[DonosnostZlato]]+Tabela13[[#This Row],[DonosnostKripto]])/2)</f>
        <v>11429.213023969922</v>
      </c>
    </row>
    <row r="124" spans="1:8" x14ac:dyDescent="0.25">
      <c r="A124" s="11">
        <v>44256</v>
      </c>
      <c r="B124" s="12">
        <v>1707.01</v>
      </c>
      <c r="C124" s="12">
        <v>58763.7</v>
      </c>
      <c r="D124" s="13">
        <f>YEAR(Tabela13[[#This Row],[Datum]])</f>
        <v>2021</v>
      </c>
      <c r="E124" s="13">
        <f>MONTH(Tabela13[[#This Row],[Datum]])</f>
        <v>3</v>
      </c>
      <c r="F124" s="14">
        <f>(B125-Tabela13[[#This Row],[Zlato]])/Tabela13[[#This Row],[Zlato]]</f>
        <v>3.6074774020070137E-2</v>
      </c>
      <c r="G124" s="14">
        <f>(C125-Tabela13[[#This Row],[Kriptovalute]])/Tabela13[[#This Row],[Kriptovalute]]</f>
        <v>-1.7755859484681773E-2</v>
      </c>
      <c r="H124" s="31">
        <f>10000*(1+(Tabela13[[#This Row],[DonosnostZlato]]+Tabela13[[#This Row],[DonosnostKripto]])/2)</f>
        <v>10091.594572676942</v>
      </c>
    </row>
    <row r="125" spans="1:8" x14ac:dyDescent="0.25">
      <c r="A125" s="11">
        <v>44287</v>
      </c>
      <c r="B125" s="12">
        <v>1768.59</v>
      </c>
      <c r="C125" s="12">
        <v>57720.3</v>
      </c>
      <c r="D125" s="13">
        <f>YEAR(Tabela13[[#This Row],[Datum]])</f>
        <v>2021</v>
      </c>
      <c r="E125" s="13">
        <f>MONTH(Tabela13[[#This Row],[Datum]])</f>
        <v>4</v>
      </c>
      <c r="F125" s="14">
        <f>(B126-Tabela13[[#This Row],[Zlato]])/Tabela13[[#This Row],[Zlato]]</f>
        <v>7.7898212700512837E-2</v>
      </c>
      <c r="G125" s="14">
        <f>(C126-Tabela13[[#This Row],[Kriptovalute]])/Tabela13[[#This Row],[Kriptovalute]]</f>
        <v>-0.35380446740574811</v>
      </c>
      <c r="H125" s="31">
        <f>10000*(1+(Tabela13[[#This Row],[DonosnostZlato]]+Tabela13[[#This Row],[DonosnostKripto]])/2)</f>
        <v>8620.4687264738241</v>
      </c>
    </row>
    <row r="126" spans="1:8" x14ac:dyDescent="0.25">
      <c r="A126" s="11">
        <v>44317</v>
      </c>
      <c r="B126" s="12">
        <v>1906.36</v>
      </c>
      <c r="C126" s="12">
        <v>37298.6</v>
      </c>
      <c r="D126" s="13">
        <f>YEAR(Tabela13[[#This Row],[Datum]])</f>
        <v>2021</v>
      </c>
      <c r="E126" s="13">
        <f>MONTH(Tabela13[[#This Row],[Datum]])</f>
        <v>5</v>
      </c>
      <c r="F126" s="14">
        <f>(B127-Tabela13[[#This Row],[Zlato]])/Tabela13[[#This Row],[Zlato]]</f>
        <v>-7.1633899158605907E-2</v>
      </c>
      <c r="G126" s="14">
        <f>(C127-Tabela13[[#This Row],[Kriptovalute]])/Tabela13[[#This Row],[Kriptovalute]]</f>
        <v>-6.0905771262192071E-2</v>
      </c>
      <c r="H126" s="31">
        <f>10000*(1+(Tabela13[[#This Row],[DonosnostZlato]]+Tabela13[[#This Row],[DonosnostKripto]])/2)</f>
        <v>9337.3016478960108</v>
      </c>
    </row>
    <row r="127" spans="1:8" x14ac:dyDescent="0.25">
      <c r="A127" s="11">
        <v>44348</v>
      </c>
      <c r="B127" s="12">
        <v>1769.8</v>
      </c>
      <c r="C127" s="12">
        <v>35026.9</v>
      </c>
      <c r="D127" s="13">
        <f>YEAR(Tabela13[[#This Row],[Datum]])</f>
        <v>2021</v>
      </c>
      <c r="E127" s="13">
        <f>MONTH(Tabela13[[#This Row],[Datum]])</f>
        <v>6</v>
      </c>
      <c r="F127" s="14">
        <f>(B128-Tabela13[[#This Row],[Zlato]])/Tabela13[[#This Row],[Zlato]]</f>
        <v>2.4737258447282164E-2</v>
      </c>
      <c r="G127" s="14">
        <f>(C128-Tabela13[[#This Row],[Kriptovalute]])/Tabela13[[#This Row],[Kriptovalute]]</f>
        <v>0.18633678686952015</v>
      </c>
      <c r="H127" s="31">
        <f>10000*(1+(Tabela13[[#This Row],[DonosnostZlato]]+Tabela13[[#This Row],[DonosnostKripto]])/2)</f>
        <v>11055.370226584011</v>
      </c>
    </row>
    <row r="128" spans="1:8" x14ac:dyDescent="0.25">
      <c r="A128" s="11">
        <v>44378</v>
      </c>
      <c r="B128" s="12">
        <v>1813.58</v>
      </c>
      <c r="C128" s="12">
        <v>41553.699999999997</v>
      </c>
      <c r="D128" s="13">
        <f>YEAR(Tabela13[[#This Row],[Datum]])</f>
        <v>2021</v>
      </c>
      <c r="E128" s="13">
        <f>MONTH(Tabela13[[#This Row],[Datum]])</f>
        <v>7</v>
      </c>
      <c r="F128" s="14">
        <f>(B129-Tabela13[[#This Row],[Zlato]])/Tabela13[[#This Row],[Zlato]]</f>
        <v>-8.2709337332714073E-5</v>
      </c>
      <c r="G128" s="14">
        <f>(C129-Tabela13[[#This Row],[Kriptovalute]])/Tabela13[[#This Row],[Kriptovalute]]</f>
        <v>0.13420465566243209</v>
      </c>
      <c r="H128" s="31">
        <f>10000*(1+(Tabela13[[#This Row],[DonosnostZlato]]+Tabela13[[#This Row],[DonosnostKripto]])/2)</f>
        <v>10670.609731625498</v>
      </c>
    </row>
    <row r="129" spans="1:8" x14ac:dyDescent="0.25">
      <c r="A129" s="11">
        <v>44409</v>
      </c>
      <c r="B129" s="12">
        <v>1813.43</v>
      </c>
      <c r="C129" s="12">
        <v>47130.400000000001</v>
      </c>
      <c r="D129" s="13">
        <f>YEAR(Tabela13[[#This Row],[Datum]])</f>
        <v>2021</v>
      </c>
      <c r="E129" s="13">
        <f>MONTH(Tabela13[[#This Row],[Datum]])</f>
        <v>8</v>
      </c>
      <c r="F129" s="14">
        <f>(B130-Tabela13[[#This Row],[Zlato]])/Tabela13[[#This Row],[Zlato]]</f>
        <v>-3.1305316444527762E-2</v>
      </c>
      <c r="G129" s="14">
        <f>(C130-Tabela13[[#This Row],[Kriptovalute]])/Tabela13[[#This Row],[Kriptovalute]]</f>
        <v>-7.0169147726308251E-2</v>
      </c>
      <c r="H129" s="31">
        <f>10000*(1+(Tabela13[[#This Row],[DonosnostZlato]]+Tabela13[[#This Row],[DonosnostKripto]])/2)</f>
        <v>9492.6276791458204</v>
      </c>
    </row>
    <row r="130" spans="1:8" x14ac:dyDescent="0.25">
      <c r="A130" s="11">
        <v>44440</v>
      </c>
      <c r="B130" s="12">
        <v>1756.66</v>
      </c>
      <c r="C130" s="12">
        <v>43823.3</v>
      </c>
      <c r="D130" s="13">
        <f>YEAR(Tabela13[[#This Row],[Datum]])</f>
        <v>2021</v>
      </c>
      <c r="E130" s="13">
        <f>MONTH(Tabela13[[#This Row],[Datum]])</f>
        <v>9</v>
      </c>
      <c r="F130" s="14">
        <f>(B131-Tabela13[[#This Row],[Zlato]])/Tabela13[[#This Row],[Zlato]]</f>
        <v>1.4886204501724785E-2</v>
      </c>
      <c r="G130" s="14">
        <f>(C131-Tabela13[[#This Row],[Kriptovalute]])/Tabela13[[#This Row],[Kriptovalute]]</f>
        <v>0.39901833043152829</v>
      </c>
      <c r="H130" s="31">
        <f>10000*(1+(Tabela13[[#This Row],[DonosnostZlato]]+Tabela13[[#This Row],[DonosnostKripto]])/2)</f>
        <v>12069.522674666265</v>
      </c>
    </row>
    <row r="131" spans="1:8" x14ac:dyDescent="0.25">
      <c r="A131" s="11">
        <v>44470</v>
      </c>
      <c r="B131" s="12">
        <v>1782.81</v>
      </c>
      <c r="C131" s="12">
        <v>61309.599999999999</v>
      </c>
      <c r="D131" s="13">
        <f>YEAR(Tabela13[[#This Row],[Datum]])</f>
        <v>2021</v>
      </c>
      <c r="E131" s="13">
        <f>MONTH(Tabela13[[#This Row],[Datum]])</f>
        <v>10</v>
      </c>
      <c r="F131" s="14">
        <f>(B132-Tabela13[[#This Row],[Zlato]])/Tabela13[[#This Row],[Zlato]]</f>
        <v>-5.0650377774412152E-3</v>
      </c>
      <c r="G131" s="14">
        <f>(C132-Tabela13[[#This Row],[Kriptovalute]])/Tabela13[[#This Row],[Kriptovalute]]</f>
        <v>-7.2202395709644124E-2</v>
      </c>
      <c r="H131" s="31">
        <f>10000*(1+(Tabela13[[#This Row],[DonosnostZlato]]+Tabela13[[#This Row],[DonosnostKripto]])/2)</f>
        <v>9613.6628325645743</v>
      </c>
    </row>
    <row r="132" spans="1:8" x14ac:dyDescent="0.25">
      <c r="A132" s="11">
        <v>44501</v>
      </c>
      <c r="B132" s="12">
        <v>1773.78</v>
      </c>
      <c r="C132" s="12">
        <v>56882.9</v>
      </c>
      <c r="D132" s="13">
        <f>YEAR(Tabela13[[#This Row],[Datum]])</f>
        <v>2021</v>
      </c>
      <c r="E132" s="13">
        <f>MONTH(Tabela13[[#This Row],[Datum]])</f>
        <v>11</v>
      </c>
      <c r="F132" s="14">
        <f>(B133-Tabela13[[#This Row],[Zlato]])/Tabela13[[#This Row],[Zlato]]</f>
        <v>3.0787358071463274E-2</v>
      </c>
      <c r="G132" s="14">
        <f>(C133-Tabela13[[#This Row],[Kriptovalute]])/Tabela13[[#This Row],[Kriptovalute]]</f>
        <v>-0.18746231292708357</v>
      </c>
      <c r="H132" s="31">
        <f>10000*(1+(Tabela13[[#This Row],[DonosnostZlato]]+Tabela13[[#This Row],[DonosnostKripto]])/2)</f>
        <v>9216.6252257218985</v>
      </c>
    </row>
    <row r="133" spans="1:8" x14ac:dyDescent="0.25">
      <c r="A133" s="11">
        <v>44531</v>
      </c>
      <c r="B133" s="12">
        <v>1828.39</v>
      </c>
      <c r="C133" s="12">
        <v>46219.5</v>
      </c>
      <c r="D133" s="13">
        <f>YEAR(Tabela13[[#This Row],[Datum]])</f>
        <v>2021</v>
      </c>
      <c r="E133" s="13">
        <f>MONTH(Tabela13[[#This Row],[Datum]])</f>
        <v>12</v>
      </c>
      <c r="F133" s="14">
        <f>(B134-Tabela13[[#This Row],[Zlato]])/Tabela13[[#This Row],[Zlato]]</f>
        <v>-1.7457982159167395E-2</v>
      </c>
      <c r="G133" s="14">
        <f>(C134-Tabela13[[#This Row],[Kriptovalute]])/Tabela13[[#This Row],[Kriptovalute]]</f>
        <v>-0.16704854011834835</v>
      </c>
      <c r="H133" s="31">
        <f>10000*(1+(Tabela13[[#This Row],[DonosnostZlato]]+Tabela13[[#This Row],[DonosnostKripto]])/2)</f>
        <v>9077.4673886124219</v>
      </c>
    </row>
    <row r="134" spans="1:8" x14ac:dyDescent="0.25">
      <c r="A134" s="11">
        <v>44562</v>
      </c>
      <c r="B134" s="12">
        <v>1796.47</v>
      </c>
      <c r="C134" s="12">
        <v>38498.6</v>
      </c>
      <c r="D134" s="13">
        <f>YEAR(Tabela13[[#This Row],[Datum]])</f>
        <v>2022</v>
      </c>
      <c r="E134" s="13">
        <f>MONTH(Tabela13[[#This Row],[Datum]])</f>
        <v>1</v>
      </c>
      <c r="F134" s="14">
        <f>(B135-Tabela13[[#This Row],[Zlato]])/Tabela13[[#This Row],[Zlato]]</f>
        <v>6.2027197782317578E-2</v>
      </c>
      <c r="G134" s="14">
        <f>(C135-Tabela13[[#This Row],[Kriptovalute]])/Tabela13[[#This Row],[Kriptovalute]]</f>
        <v>0.12181222174312829</v>
      </c>
      <c r="H134" s="31">
        <f>10000*(1+(Tabela13[[#This Row],[DonosnostZlato]]+Tabela13[[#This Row],[DonosnostKripto]])/2)</f>
        <v>10919.19709762723</v>
      </c>
    </row>
    <row r="135" spans="1:8" x14ac:dyDescent="0.25">
      <c r="A135" s="11">
        <v>44593</v>
      </c>
      <c r="B135" s="12">
        <v>1907.9</v>
      </c>
      <c r="C135" s="12">
        <v>43188.2</v>
      </c>
      <c r="D135" s="13">
        <f>YEAR(Tabela13[[#This Row],[Datum]])</f>
        <v>2022</v>
      </c>
      <c r="E135" s="13">
        <f>MONTH(Tabela13[[#This Row],[Datum]])</f>
        <v>2</v>
      </c>
      <c r="F135" s="14">
        <f>(B136-Tabela13[[#This Row],[Zlato]])/Tabela13[[#This Row],[Zlato]]</f>
        <v>1.5372923109177591E-2</v>
      </c>
      <c r="G135" s="14">
        <f>(C136-Tabela13[[#This Row],[Kriptovalute]])/Tabela13[[#This Row],[Kriptovalute]]</f>
        <v>5.4107371921034056E-2</v>
      </c>
      <c r="H135" s="31">
        <f>10000*(1+(Tabela13[[#This Row],[DonosnostZlato]]+Tabela13[[#This Row],[DonosnostKripto]])/2)</f>
        <v>10347.401475151059</v>
      </c>
    </row>
    <row r="136" spans="1:8" x14ac:dyDescent="0.25">
      <c r="A136" s="11">
        <v>44621</v>
      </c>
      <c r="B136" s="12">
        <v>1937.23</v>
      </c>
      <c r="C136" s="12">
        <v>45525</v>
      </c>
      <c r="D136" s="13">
        <f>YEAR(Tabela13[[#This Row],[Datum]])</f>
        <v>2022</v>
      </c>
      <c r="E136" s="13">
        <f>MONTH(Tabela13[[#This Row],[Datum]])</f>
        <v>3</v>
      </c>
      <c r="F136" s="14">
        <f>(B137-Tabela13[[#This Row],[Zlato]])/Tabela13[[#This Row],[Zlato]]</f>
        <v>-2.1076485497333784E-2</v>
      </c>
      <c r="G136" s="14">
        <f>(C137-Tabela13[[#This Row],[Kriptovalute]])/Tabela13[[#This Row],[Kriptovalute]]</f>
        <v>-0.17298187808896212</v>
      </c>
      <c r="H136" s="31">
        <f>10000*(1+(Tabela13[[#This Row],[DonosnostZlato]]+Tabela13[[#This Row],[DonosnostKripto]])/2)</f>
        <v>9029.7081820685216</v>
      </c>
    </row>
    <row r="137" spans="1:8" x14ac:dyDescent="0.25">
      <c r="A137" s="11">
        <v>44652</v>
      </c>
      <c r="B137" s="12">
        <v>1896.4</v>
      </c>
      <c r="C137" s="12">
        <v>37650</v>
      </c>
      <c r="D137" s="13">
        <f>YEAR(Tabela13[[#This Row],[Datum]])</f>
        <v>2022</v>
      </c>
      <c r="E137" s="13">
        <f>MONTH(Tabela13[[#This Row],[Datum]])</f>
        <v>4</v>
      </c>
      <c r="F137" s="14">
        <f>(B138-Tabela13[[#This Row],[Zlato]])/Tabela13[[#This Row],[Zlato]]</f>
        <v>-3.1275047458342212E-2</v>
      </c>
      <c r="G137" s="14">
        <f>(C138-Tabela13[[#This Row],[Kriptovalute]])/Tabela13[[#This Row],[Kriptovalute]]</f>
        <v>-0.15555378486055774</v>
      </c>
      <c r="H137" s="31">
        <f>10000*(1+(Tabela13[[#This Row],[DonosnostZlato]]+Tabela13[[#This Row],[DonosnostKripto]])/2)</f>
        <v>9065.8558384054995</v>
      </c>
    </row>
    <row r="138" spans="1:8" x14ac:dyDescent="0.25">
      <c r="A138" s="11">
        <v>44682</v>
      </c>
      <c r="B138" s="12">
        <v>1837.09</v>
      </c>
      <c r="C138" s="12">
        <v>31793.4</v>
      </c>
      <c r="D138" s="13">
        <f>YEAR(Tabela13[[#This Row],[Datum]])</f>
        <v>2022</v>
      </c>
      <c r="E138" s="13">
        <f>MONTH(Tabela13[[#This Row],[Datum]])</f>
        <v>5</v>
      </c>
      <c r="F138" s="14">
        <f>(B139-Tabela13[[#This Row],[Zlato]])/Tabela13[[#This Row],[Zlato]]</f>
        <v>-1.6439042180840253E-2</v>
      </c>
      <c r="G138" s="14">
        <f>(C139-Tabela13[[#This Row],[Kriptovalute]])/Tabela13[[#This Row],[Kriptovalute]]</f>
        <v>-0.37324727773688887</v>
      </c>
      <c r="H138" s="31">
        <f>10000*(1+(Tabela13[[#This Row],[DonosnostZlato]]+Tabela13[[#This Row],[DonosnostKripto]])/2)</f>
        <v>8051.5684004113546</v>
      </c>
    </row>
    <row r="139" spans="1:8" x14ac:dyDescent="0.25">
      <c r="A139" s="11">
        <v>44713</v>
      </c>
      <c r="B139" s="12">
        <v>1806.89</v>
      </c>
      <c r="C139" s="12">
        <v>19926.599999999999</v>
      </c>
      <c r="D139" s="13">
        <f>YEAR(Tabela13[[#This Row],[Datum]])</f>
        <v>2022</v>
      </c>
      <c r="E139" s="13">
        <f>MONTH(Tabela13[[#This Row],[Datum]])</f>
        <v>6</v>
      </c>
      <c r="F139" s="14">
        <f>(B140-Tabela13[[#This Row],[Zlato]])/Tabela13[[#This Row],[Zlato]]</f>
        <v>-2.3061724842132099E-2</v>
      </c>
      <c r="G139" s="14">
        <f>(C140-Tabela13[[#This Row],[Kriptovalute]])/Tabela13[[#This Row],[Kriptovalute]]</f>
        <v>0.16946192526572537</v>
      </c>
      <c r="H139" s="31">
        <f>10000*(1+(Tabela13[[#This Row],[DonosnostZlato]]+Tabela13[[#This Row],[DonosnostKripto]])/2)</f>
        <v>10732.001002117966</v>
      </c>
    </row>
    <row r="140" spans="1:8" x14ac:dyDescent="0.25">
      <c r="A140" s="11">
        <v>44743</v>
      </c>
      <c r="B140" s="12">
        <v>1765.22</v>
      </c>
      <c r="C140" s="12">
        <v>23303.4</v>
      </c>
      <c r="D140" s="13">
        <f>YEAR(Tabela13[[#This Row],[Datum]])</f>
        <v>2022</v>
      </c>
      <c r="E140" s="13">
        <f>MONTH(Tabela13[[#This Row],[Datum]])</f>
        <v>7</v>
      </c>
      <c r="F140" s="14">
        <f>(B141-Tabela13[[#This Row],[Zlato]])/Tabela13[[#This Row],[Zlato]]</f>
        <v>-3.088566864186899E-2</v>
      </c>
      <c r="G140" s="14">
        <f>(C141-Tabela13[[#This Row],[Kriptovalute]])/Tabela13[[#This Row],[Kriptovalute]]</f>
        <v>-0.13987229331342207</v>
      </c>
      <c r="H140" s="31">
        <f>10000*(1+(Tabela13[[#This Row],[DonosnostZlato]]+Tabela13[[#This Row],[DonosnostKripto]])/2)</f>
        <v>9146.2101902235445</v>
      </c>
    </row>
    <row r="141" spans="1:8" x14ac:dyDescent="0.25">
      <c r="A141" s="11">
        <v>44774</v>
      </c>
      <c r="B141" s="12">
        <v>1710.7</v>
      </c>
      <c r="C141" s="12">
        <v>20043.900000000001</v>
      </c>
      <c r="D141" s="13">
        <f>YEAR(Tabela13[[#This Row],[Datum]])</f>
        <v>2022</v>
      </c>
      <c r="E141" s="13">
        <f>MONTH(Tabela13[[#This Row],[Datum]])</f>
        <v>8</v>
      </c>
      <c r="F141" s="14">
        <f>(B142-Tabela13[[#This Row],[Zlato]])/Tabela13[[#This Row],[Zlato]]</f>
        <v>-2.9829894195358607E-2</v>
      </c>
      <c r="G141" s="14">
        <f>(C142-Tabela13[[#This Row],[Kriptovalute]])/Tabela13[[#This Row],[Kriptovalute]]</f>
        <v>-3.0977005472986863E-2</v>
      </c>
      <c r="H141" s="31">
        <f>10000*(1+(Tabela13[[#This Row],[DonosnostZlato]]+Tabela13[[#This Row],[DonosnostKripto]])/2)</f>
        <v>9695.9655016582728</v>
      </c>
    </row>
    <row r="142" spans="1:8" x14ac:dyDescent="0.25">
      <c r="A142" s="11">
        <v>44805</v>
      </c>
      <c r="B142" s="12">
        <v>1659.67</v>
      </c>
      <c r="C142" s="12">
        <v>19423</v>
      </c>
      <c r="D142" s="13">
        <f>YEAR(Tabela13[[#This Row],[Datum]])</f>
        <v>2022</v>
      </c>
      <c r="E142" s="13">
        <f>MONTH(Tabela13[[#This Row],[Datum]])</f>
        <v>9</v>
      </c>
      <c r="F142" s="14">
        <f>(B143-Tabela13[[#This Row],[Zlato]])/Tabela13[[#This Row],[Zlato]]</f>
        <v>-1.5997156061144793E-2</v>
      </c>
      <c r="G142" s="14">
        <f>(C143-Tabela13[[#This Row],[Kriptovalute]])/Tabela13[[#This Row],[Kriptovalute]]</f>
        <v>5.5259228749420755E-2</v>
      </c>
      <c r="H142" s="31">
        <f>10000*(1+(Tabela13[[#This Row],[DonosnostZlato]]+Tabela13[[#This Row],[DonosnostKripto]])/2)</f>
        <v>10196.310363441378</v>
      </c>
    </row>
    <row r="143" spans="1:8" x14ac:dyDescent="0.25">
      <c r="A143" s="11">
        <v>44835</v>
      </c>
      <c r="B143" s="12">
        <v>1633.12</v>
      </c>
      <c r="C143" s="12">
        <v>20496.3</v>
      </c>
      <c r="D143" s="13">
        <f>YEAR(Tabela13[[#This Row],[Datum]])</f>
        <v>2022</v>
      </c>
      <c r="E143" s="13">
        <f>MONTH(Tabela13[[#This Row],[Datum]])</f>
        <v>10</v>
      </c>
      <c r="F143" s="14">
        <f>(B144-Tabela13[[#This Row],[Zlato]])/Tabela13[[#This Row],[Zlato]]</f>
        <v>8.2865925345351324E-2</v>
      </c>
      <c r="G143" s="14">
        <f>(C144-Tabela13[[#This Row],[Kriptovalute]])/Tabela13[[#This Row],[Kriptovalute]]</f>
        <v>-0.16258544225055244</v>
      </c>
      <c r="H143" s="31">
        <f>10000*(1+(Tabela13[[#This Row],[DonosnostZlato]]+Tabela13[[#This Row],[DonosnostKripto]])/2)</f>
        <v>9601.4024154739946</v>
      </c>
    </row>
    <row r="144" spans="1:8" x14ac:dyDescent="0.25">
      <c r="A144" s="11">
        <v>44866</v>
      </c>
      <c r="B144" s="12">
        <v>1768.45</v>
      </c>
      <c r="C144" s="12">
        <v>17163.900000000001</v>
      </c>
      <c r="D144" s="13">
        <f>YEAR(Tabela13[[#This Row],[Datum]])</f>
        <v>2022</v>
      </c>
      <c r="E144" s="13">
        <f>MONTH(Tabela13[[#This Row],[Datum]])</f>
        <v>11</v>
      </c>
      <c r="F144" s="14">
        <f>(B145-Tabela13[[#This Row],[Zlato]])/Tabela13[[#This Row],[Zlato]]</f>
        <v>3.1637874975260848E-2</v>
      </c>
      <c r="G144" s="14">
        <f>(C145-Tabela13[[#This Row],[Kriptovalute]])/Tabela13[[#This Row],[Kriptovalute]]</f>
        <v>-3.6501028321069218E-2</v>
      </c>
      <c r="H144" s="31">
        <f>10000*(1+(Tabela13[[#This Row],[DonosnostZlato]]+Tabela13[[#This Row],[DonosnostKripto]])/2)</f>
        <v>9975.6842332709584</v>
      </c>
    </row>
    <row r="145" spans="1:8" x14ac:dyDescent="0.25">
      <c r="A145" s="11">
        <v>44896</v>
      </c>
      <c r="B145" s="12">
        <v>1824.4</v>
      </c>
      <c r="C145" s="12">
        <v>16537.400000000001</v>
      </c>
      <c r="D145" s="13">
        <f>YEAR(Tabela13[[#This Row],[Datum]])</f>
        <v>2022</v>
      </c>
      <c r="E145" s="13">
        <f>MONTH(Tabela13[[#This Row],[Datum]])</f>
        <v>12</v>
      </c>
      <c r="F145" s="14">
        <f>(B146-Tabela13[[#This Row],[Zlato]])/Tabela13[[#This Row],[Zlato]]</f>
        <v>5.6720017540013164E-2</v>
      </c>
      <c r="G145" s="14">
        <f>(C146-Tabela13[[#This Row],[Kriptovalute]])/Tabela13[[#This Row],[Kriptovalute]]</f>
        <v>0.39835161512692424</v>
      </c>
      <c r="H145" s="31">
        <f>10000*(1+(Tabela13[[#This Row],[DonosnostZlato]]+Tabela13[[#This Row],[DonosnostKripto]])/2)</f>
        <v>12275.358163334686</v>
      </c>
    </row>
    <row r="146" spans="1:8" x14ac:dyDescent="0.25">
      <c r="A146" s="11">
        <v>44927</v>
      </c>
      <c r="B146" s="12">
        <v>1927.88</v>
      </c>
      <c r="C146" s="12">
        <v>23125.1</v>
      </c>
      <c r="D146" s="13">
        <f>YEAR(Tabela13[[#This Row],[Datum]])</f>
        <v>2023</v>
      </c>
      <c r="E146" s="13">
        <f>MONTH(Tabela13[[#This Row],[Datum]])</f>
        <v>1</v>
      </c>
      <c r="F146" s="14">
        <f>(B147-Tabela13[[#This Row],[Zlato]])/Tabela13[[#This Row],[Zlato]]</f>
        <v>-5.2249102641243238E-2</v>
      </c>
      <c r="G146" s="14">
        <f>(C147-Tabela13[[#This Row],[Kriptovalute]])/Tabela13[[#This Row],[Kriptovalute]]</f>
        <v>2.3351250372977654E-4</v>
      </c>
      <c r="H146" s="31">
        <f>10000*(1+(Tabela13[[#This Row],[DonosnostZlato]]+Tabela13[[#This Row],[DonosnostKripto]])/2)</f>
        <v>9739.9220493124321</v>
      </c>
    </row>
    <row r="147" spans="1:8" x14ac:dyDescent="0.25">
      <c r="A147" s="11">
        <v>44958</v>
      </c>
      <c r="B147" s="12">
        <v>1827.15</v>
      </c>
      <c r="C147" s="12">
        <v>23130.5</v>
      </c>
      <c r="D147" s="13">
        <f>YEAR(Tabela13[[#This Row],[Datum]])</f>
        <v>2023</v>
      </c>
      <c r="E147" s="13">
        <f>MONTH(Tabela13[[#This Row],[Datum]])</f>
        <v>2</v>
      </c>
      <c r="F147" s="14">
        <f>(B148-Tabela13[[#This Row],[Zlato]])/Tabela13[[#This Row],[Zlato]]</f>
        <v>7.7032537011192295E-2</v>
      </c>
      <c r="G147" s="14">
        <f>(C148-Tabela13[[#This Row],[Kriptovalute]])/Tabela13[[#This Row],[Kriptovalute]]</f>
        <v>0.23100235619636414</v>
      </c>
      <c r="H147" s="31">
        <f>10000*(1+(Tabela13[[#This Row],[DonosnostZlato]]+Tabela13[[#This Row],[DonosnostKripto]])/2)</f>
        <v>11540.174466037783</v>
      </c>
    </row>
    <row r="148" spans="1:8" x14ac:dyDescent="0.25">
      <c r="A148" s="11">
        <v>44986</v>
      </c>
      <c r="B148" s="12">
        <v>1967.9</v>
      </c>
      <c r="C148" s="12">
        <v>28473.7</v>
      </c>
      <c r="D148" s="13">
        <f>YEAR(Tabela13[[#This Row],[Datum]])</f>
        <v>2023</v>
      </c>
      <c r="E148" s="13">
        <f>MONTH(Tabela13[[#This Row],[Datum]])</f>
        <v>3</v>
      </c>
      <c r="F148" s="14">
        <f>(B149-Tabela13[[#This Row],[Zlato]])/Tabela13[[#This Row],[Zlato]]</f>
        <v>1.1052390873519995E-2</v>
      </c>
      <c r="G148" s="14">
        <f>(C149-Tabela13[[#This Row],[Kriptovalute]])/Tabela13[[#This Row],[Kriptovalute]]</f>
        <v>2.7337507945928975E-2</v>
      </c>
      <c r="H148" s="31">
        <f>10000*(1+(Tabela13[[#This Row],[DonosnostZlato]]+Tabela13[[#This Row],[DonosnostKripto]])/2)</f>
        <v>10191.949494097245</v>
      </c>
    </row>
    <row r="149" spans="1:8" x14ac:dyDescent="0.25">
      <c r="A149" s="11">
        <v>45017</v>
      </c>
      <c r="B149" s="12">
        <v>1989.65</v>
      </c>
      <c r="C149" s="12">
        <v>29252.1</v>
      </c>
      <c r="D149" s="13">
        <f>YEAR(Tabela13[[#This Row],[Datum]])</f>
        <v>2023</v>
      </c>
      <c r="E149" s="13">
        <f>MONTH(Tabela13[[#This Row],[Datum]])</f>
        <v>4</v>
      </c>
      <c r="F149" s="14">
        <f>(B150-Tabela13[[#This Row],[Zlato]])/Tabela13[[#This Row],[Zlato]]</f>
        <v>-1.3746136255120315E-2</v>
      </c>
      <c r="G149" s="14">
        <f>(C150-Tabela13[[#This Row],[Kriptovalute]])/Tabela13[[#This Row],[Kriptovalute]]</f>
        <v>-6.9601840551618513E-2</v>
      </c>
      <c r="H149" s="31">
        <f>10000*(1+(Tabela13[[#This Row],[DonosnostZlato]]+Tabela13[[#This Row],[DonosnostKripto]])/2)</f>
        <v>9583.2601159663063</v>
      </c>
    </row>
    <row r="150" spans="1:8" x14ac:dyDescent="0.25">
      <c r="A150" s="11">
        <v>45047</v>
      </c>
      <c r="B150" s="12">
        <v>1962.3</v>
      </c>
      <c r="C150" s="12">
        <v>27216.1</v>
      </c>
      <c r="D150" s="13">
        <f>YEAR(Tabela13[[#This Row],[Datum]])</f>
        <v>2023</v>
      </c>
      <c r="E150" s="13">
        <f>MONTH(Tabela13[[#This Row],[Datum]])</f>
        <v>5</v>
      </c>
      <c r="F150" s="14">
        <f>(B151-Tabela13[[#This Row],[Zlato]])/Tabela13[[#This Row],[Zlato]]</f>
        <v>-2.1775467563573368E-2</v>
      </c>
      <c r="G150" s="14">
        <f>(C151-Tabela13[[#This Row],[Kriptovalute]])/Tabela13[[#This Row],[Kriptovalute]]</f>
        <v>0.1196644633139944</v>
      </c>
      <c r="H150" s="31">
        <f>10000*(1+(Tabela13[[#This Row],[DonosnostZlato]]+Tabela13[[#This Row],[DonosnostKripto]])/2)</f>
        <v>10489.444978752104</v>
      </c>
    </row>
    <row r="151" spans="1:8" x14ac:dyDescent="0.25">
      <c r="A151" s="11">
        <v>45078</v>
      </c>
      <c r="B151" s="12">
        <v>1919.57</v>
      </c>
      <c r="C151" s="12">
        <v>30472.9</v>
      </c>
      <c r="D151" s="13">
        <f>YEAR(Tabela13[[#This Row],[Datum]])</f>
        <v>2023</v>
      </c>
      <c r="E151" s="13">
        <f>MONTH(Tabela13[[#This Row],[Datum]])</f>
        <v>6</v>
      </c>
      <c r="F151" s="14">
        <f>(B152-Tabela13[[#This Row],[Zlato]])/Tabela13[[#This Row],[Zlato]]</f>
        <v>2.324478919758077E-2</v>
      </c>
      <c r="G151" s="14">
        <f>(C152-Tabela13[[#This Row],[Kriptovalute]])/Tabela13[[#This Row],[Kriptovalute]]</f>
        <v>-4.0708301474424814E-2</v>
      </c>
      <c r="H151" s="31">
        <f>10000*(1+(Tabela13[[#This Row],[DonosnostZlato]]+Tabela13[[#This Row],[DonosnostKripto]])/2)</f>
        <v>9912.6824386157805</v>
      </c>
    </row>
    <row r="152" spans="1:8" x14ac:dyDescent="0.25">
      <c r="A152" s="11">
        <v>45108</v>
      </c>
      <c r="B152" s="12">
        <v>1964.19</v>
      </c>
      <c r="C152" s="12">
        <v>29232.400000000001</v>
      </c>
      <c r="D152" s="13">
        <f>YEAR(Tabela13[[#This Row],[Datum]])</f>
        <v>2023</v>
      </c>
      <c r="E152" s="13">
        <f>MONTH(Tabela13[[#This Row],[Datum]])</f>
        <v>7</v>
      </c>
      <c r="F152" s="14">
        <f>(B153-Tabela13[[#This Row],[Zlato]])/Tabela13[[#This Row],[Zlato]]</f>
        <v>-1.244787927848123E-2</v>
      </c>
      <c r="G152" s="14">
        <f>(C153-Tabela13[[#This Row],[Kriptovalute]])/Tabela13[[#This Row],[Kriptovalute]]</f>
        <v>-0.11272081662812503</v>
      </c>
      <c r="H152" s="31">
        <f>10000*(1+(Tabela13[[#This Row],[DonosnostZlato]]+Tabela13[[#This Row],[DonosnostKripto]])/2)</f>
        <v>9374.1565204669678</v>
      </c>
    </row>
    <row r="153" spans="1:8" x14ac:dyDescent="0.25">
      <c r="A153" s="11">
        <v>45139</v>
      </c>
      <c r="B153" s="12">
        <v>1939.74</v>
      </c>
      <c r="C153" s="12">
        <v>25937.3</v>
      </c>
      <c r="D153" s="13">
        <f>YEAR(Tabela13[[#This Row],[Datum]])</f>
        <v>2023</v>
      </c>
      <c r="E153" s="13">
        <f>MONTH(Tabela13[[#This Row],[Datum]])</f>
        <v>8</v>
      </c>
      <c r="F153" s="14">
        <f>(B154-Tabela13[[#This Row],[Zlato]])/Tabela13[[#This Row],[Zlato]]</f>
        <v>-4.7135183065771732E-2</v>
      </c>
      <c r="G153" s="14">
        <f>(C154-Tabela13[[#This Row],[Kriptovalute]])/Tabela13[[#This Row],[Kriptovalute]]</f>
        <v>3.9533798814834292E-2</v>
      </c>
      <c r="H153" s="31">
        <f>10000*(1+(Tabela13[[#This Row],[DonosnostZlato]]+Tabela13[[#This Row],[DonosnostKripto]])/2)</f>
        <v>9961.9930787453122</v>
      </c>
    </row>
    <row r="154" spans="1:8" x14ac:dyDescent="0.25">
      <c r="A154" s="11">
        <v>45170</v>
      </c>
      <c r="B154" s="12">
        <v>1848.31</v>
      </c>
      <c r="C154" s="12">
        <v>26962.7</v>
      </c>
      <c r="D154" s="13">
        <f>YEAR(Tabela13[[#This Row],[Datum]])</f>
        <v>2023</v>
      </c>
      <c r="E154" s="13">
        <f>MONTH(Tabela13[[#This Row],[Datum]])</f>
        <v>9</v>
      </c>
      <c r="F154" s="14">
        <f>(B155-Tabela13[[#This Row],[Zlato]])/Tabela13[[#This Row],[Zlato]]</f>
        <v>7.2709664504331042E-2</v>
      </c>
      <c r="G154" s="14">
        <f>(C155-Tabela13[[#This Row],[Kriptovalute]])/Tabela13[[#This Row],[Kriptovalute]]</f>
        <v>0.28513094015065249</v>
      </c>
      <c r="H154" s="31">
        <f>10000*(1+(Tabela13[[#This Row],[DonosnostZlato]]+Tabela13[[#This Row],[DonosnostKripto]])/2)</f>
        <v>11789.203023274917</v>
      </c>
    </row>
    <row r="155" spans="1:8" x14ac:dyDescent="0.25">
      <c r="A155" s="11">
        <v>45200</v>
      </c>
      <c r="B155" s="12">
        <v>1982.7</v>
      </c>
      <c r="C155" s="12">
        <v>34650.6</v>
      </c>
      <c r="D155" s="13">
        <f>YEAR(Tabela13[[#This Row],[Datum]])</f>
        <v>2023</v>
      </c>
      <c r="E155" s="13">
        <f>MONTH(Tabela13[[#This Row],[Datum]])</f>
        <v>10</v>
      </c>
      <c r="F155" s="14">
        <f>(B156-Tabela13[[#This Row],[Zlato]])/Tabela13[[#This Row],[Zlato]]</f>
        <v>2.6756443233973852E-2</v>
      </c>
      <c r="G155" s="14">
        <f>(C156-Tabela13[[#This Row],[Kriptovalute]])/Tabela13[[#This Row],[Kriptovalute]]</f>
        <v>8.8376536048437926E-2</v>
      </c>
      <c r="H155" s="31">
        <f>10000*(1+(Tabela13[[#This Row],[DonosnostZlato]]+Tabela13[[#This Row],[DonosnostKripto]])/2)</f>
        <v>10575.664896412058</v>
      </c>
    </row>
    <row r="156" spans="1:8" x14ac:dyDescent="0.25">
      <c r="A156" s="11">
        <v>45231</v>
      </c>
      <c r="B156" s="12">
        <v>2035.75</v>
      </c>
      <c r="C156" s="12">
        <v>37712.9</v>
      </c>
      <c r="D156" s="13">
        <f>YEAR(Tabela13[[#This Row],[Datum]])</f>
        <v>2023</v>
      </c>
      <c r="E156" s="13">
        <f>MONTH(Tabela13[[#This Row],[Datum]])</f>
        <v>11</v>
      </c>
      <c r="F156" s="14">
        <f>(B157-Tabela13[[#This Row],[Zlato]])/Tabela13[[#This Row],[Zlato]]</f>
        <v>1.318433009947201E-2</v>
      </c>
      <c r="G156" s="14">
        <f>(C157-Tabela13[[#This Row],[Kriptovalute]])/Tabela13[[#This Row],[Kriptovalute]]</f>
        <v>0.12090292711512501</v>
      </c>
      <c r="H156" s="31">
        <f>10000*(1+(Tabela13[[#This Row],[DonosnostZlato]]+Tabela13[[#This Row],[DonosnostKripto]])/2)</f>
        <v>10670.436286072987</v>
      </c>
    </row>
    <row r="157" spans="1:8" x14ac:dyDescent="0.25">
      <c r="A157" s="11">
        <v>45261</v>
      </c>
      <c r="B157" s="12">
        <v>2062.59</v>
      </c>
      <c r="C157" s="12">
        <v>42272.5</v>
      </c>
      <c r="D157" s="13">
        <f>YEAR(Tabela13[[#This Row],[Datum]])</f>
        <v>2023</v>
      </c>
      <c r="E157" s="13">
        <f>MONTH(Tabela13[[#This Row],[Datum]])</f>
        <v>12</v>
      </c>
      <c r="F157" s="14">
        <f>(B158-Tabela13[[#This Row],[Zlato]])/Tabela13[[#This Row],[Zlato]]</f>
        <v>-1.2314614150170459E-2</v>
      </c>
      <c r="G157" s="14">
        <f>(C158-Tabela13[[#This Row],[Kriptovalute]])/Tabela13[[#This Row],[Kriptovalute]]</f>
        <v>7.2860606777455789E-3</v>
      </c>
      <c r="H157" s="31">
        <f>10000*(1+(Tabela13[[#This Row],[DonosnostZlato]]+Tabela13[[#This Row],[DonosnostKripto]])/2)</f>
        <v>9974.8572326378762</v>
      </c>
    </row>
    <row r="158" spans="1:8" x14ac:dyDescent="0.25">
      <c r="A158" s="11">
        <v>45292</v>
      </c>
      <c r="B158" s="12">
        <v>2037.19</v>
      </c>
      <c r="C158" s="12">
        <v>42580.5</v>
      </c>
      <c r="D158" s="13">
        <f>YEAR(Tabela13[[#This Row],[Datum]])</f>
        <v>2024</v>
      </c>
      <c r="E158" s="13">
        <f>MONTH(Tabela13[[#This Row],[Datum]])</f>
        <v>1</v>
      </c>
      <c r="F158" s="14">
        <f>(B159-Tabela13[[#This Row],[Zlato]])/Tabela13[[#This Row],[Zlato]]</f>
        <v>2.9697769967454947E-3</v>
      </c>
      <c r="G158" s="14">
        <f>(C159-Tabela13[[#This Row],[Kriptovalute]])/Tabela13[[#This Row],[Kriptovalute]]</f>
        <v>0.43655663977642356</v>
      </c>
      <c r="H158" s="31">
        <f>10000*(1+(Tabela13[[#This Row],[DonosnostZlato]]+Tabela13[[#This Row],[DonosnostKripto]])/2)</f>
        <v>12197.632083865847</v>
      </c>
    </row>
    <row r="159" spans="1:8" x14ac:dyDescent="0.25">
      <c r="A159" s="11">
        <v>45323</v>
      </c>
      <c r="B159" s="12">
        <v>2043.24</v>
      </c>
      <c r="C159" s="12">
        <v>61169.3</v>
      </c>
      <c r="D159" s="13">
        <f>YEAR(Tabela13[[#This Row],[Datum]])</f>
        <v>2024</v>
      </c>
      <c r="E159" s="13">
        <f>MONTH(Tabela13[[#This Row],[Datum]])</f>
        <v>2</v>
      </c>
      <c r="F159" s="14">
        <f>(B160-Tabela13[[#This Row],[Zlato]])/Tabela13[[#This Row],[Zlato]]</f>
        <v>9.2568665452908178E-2</v>
      </c>
      <c r="G159" s="14">
        <f>(C160-Tabela13[[#This Row],[Kriptovalute]])/Tabela13[[#This Row],[Kriptovalute]]</f>
        <v>0.16614053127957973</v>
      </c>
      <c r="H159" s="31">
        <f>10000*(1+(Tabela13[[#This Row],[DonosnostZlato]]+Tabela13[[#This Row],[DonosnostKripto]])/2)</f>
        <v>11293.545983662438</v>
      </c>
    </row>
    <row r="160" spans="1:8" x14ac:dyDescent="0.25">
      <c r="A160" s="11">
        <v>45352</v>
      </c>
      <c r="B160" s="12">
        <v>2232.38</v>
      </c>
      <c r="C160" s="12">
        <v>71332</v>
      </c>
      <c r="D160" s="13">
        <f>YEAR(Tabela13[[#This Row],[Datum]])</f>
        <v>2024</v>
      </c>
      <c r="E160" s="13">
        <f>MONTH(Tabela13[[#This Row],[Datum]])</f>
        <v>3</v>
      </c>
      <c r="F160" s="14">
        <f>(B161-Tabela13[[#This Row],[Zlato]])/Tabela13[[#This Row],[Zlato]]</f>
        <v>2.3826588663220443E-2</v>
      </c>
      <c r="G160" s="14">
        <f>(C161-Tabela13[[#This Row],[Kriptovalute]])/Tabela13[[#This Row],[Kriptovalute]]</f>
        <v>-0.14951774799528966</v>
      </c>
      <c r="H160" s="31">
        <f>10000*(1+(Tabela13[[#This Row],[DonosnostZlato]]+Tabela13[[#This Row],[DonosnostKripto]])/2)</f>
        <v>9371.5442033396539</v>
      </c>
    </row>
    <row r="161" spans="1:8" x14ac:dyDescent="0.25">
      <c r="A161" s="11">
        <v>45383</v>
      </c>
      <c r="B161" s="12">
        <v>2285.5700000000002</v>
      </c>
      <c r="C161" s="12">
        <v>60666.6</v>
      </c>
      <c r="D161" s="13">
        <f>YEAR(Tabela13[[#This Row],[Datum]])</f>
        <v>2024</v>
      </c>
      <c r="E161" s="13">
        <f>MONTH(Tabela13[[#This Row],[Datum]])</f>
        <v>4</v>
      </c>
      <c r="F161" s="14">
        <f>(B162-Tabela13[[#This Row],[Zlato]])/Tabela13[[#This Row],[Zlato]]</f>
        <v>1.8113643423740965E-2</v>
      </c>
      <c r="G161" s="14">
        <f>(C162-Tabela13[[#This Row],[Kriptovalute]])/Tabela13[[#This Row],[Kriptovalute]]</f>
        <v>0.11313473970850529</v>
      </c>
      <c r="H161" s="31">
        <f>10000*(1+(Tabela13[[#This Row],[DonosnostZlato]]+Tabela13[[#This Row],[DonosnostKripto]])/2)</f>
        <v>10656.24191566123</v>
      </c>
    </row>
    <row r="162" spans="1:8" x14ac:dyDescent="0.25">
      <c r="A162" s="11">
        <v>45413</v>
      </c>
      <c r="B162" s="12">
        <v>2326.9699999999998</v>
      </c>
      <c r="C162" s="12">
        <v>67530.100000000006</v>
      </c>
      <c r="D162" s="13">
        <f>YEAR(Tabela13[[#This Row],[Datum]])</f>
        <v>2024</v>
      </c>
      <c r="E162" s="13">
        <f>MONTH(Tabela13[[#This Row],[Datum]])</f>
        <v>5</v>
      </c>
      <c r="F162" s="14">
        <f>(B163-Tabela13[[#This Row],[Zlato]])/Tabela13[[#This Row],[Zlato]]</f>
        <v>-5.4147668427171974E-4</v>
      </c>
      <c r="G162" s="14">
        <f>(C163-Tabela13[[#This Row],[Kriptovalute]])/Tabela13[[#This Row],[Kriptovalute]]</f>
        <v>-7.07210562401063E-2</v>
      </c>
      <c r="H162" s="31">
        <f>10000*(1+(Tabela13[[#This Row],[DonosnostZlato]]+Tabela13[[#This Row],[DonosnostKripto]])/2)</f>
        <v>9643.6873353781102</v>
      </c>
    </row>
    <row r="163" spans="1:8" x14ac:dyDescent="0.25">
      <c r="A163" s="11">
        <v>45444</v>
      </c>
      <c r="B163" s="12">
        <v>2325.71</v>
      </c>
      <c r="C163" s="12">
        <v>62754.3</v>
      </c>
      <c r="D163" s="13">
        <f>YEAR(Tabela13[[#This Row],[Datum]])</f>
        <v>2024</v>
      </c>
      <c r="E163" s="13">
        <f>MONTH(Tabela13[[#This Row],[Datum]])</f>
        <v>6</v>
      </c>
      <c r="F163" s="14">
        <f>(B164-Tabela13[[#This Row],[Zlato]])/Tabela13[[#This Row],[Zlato]]</f>
        <v>5.2624789849121285E-2</v>
      </c>
      <c r="G163" s="14">
        <f>(C164-Tabela13[[#This Row],[Kriptovalute]])/Tabela13[[#This Row],[Kriptovalute]]</f>
        <v>2.9825844603477324E-2</v>
      </c>
      <c r="H163" s="31">
        <f>10000*(1+(Tabela13[[#This Row],[DonosnostZlato]]+Tabela13[[#This Row],[DonosnostKripto]])/2)</f>
        <v>10412.253172262994</v>
      </c>
    </row>
    <row r="164" spans="1:8" x14ac:dyDescent="0.25">
      <c r="A164" s="11">
        <v>45474</v>
      </c>
      <c r="B164" s="12">
        <v>2448.1</v>
      </c>
      <c r="C164" s="12">
        <v>64626</v>
      </c>
      <c r="D164" s="13">
        <f>YEAR(Tabela13[[#This Row],[Datum]])</f>
        <v>2024</v>
      </c>
      <c r="E164" s="13">
        <f>MONTH(Tabela13[[#This Row],[Datum]])</f>
        <v>7</v>
      </c>
      <c r="F164" s="14">
        <f>(B165-Tabela13[[#This Row],[Zlato]])/Tabela13[[#This Row],[Zlato]]</f>
        <v>2.2437808913034717E-2</v>
      </c>
      <c r="G164" s="14">
        <f>(C165-Tabela13[[#This Row],[Kriptovalute]])/Tabela13[[#This Row],[Kriptovalute]]</f>
        <v>-8.7385881843221019E-2</v>
      </c>
      <c r="H164" s="31">
        <f>10000*(1+(Tabela13[[#This Row],[DonosnostZlato]]+Tabela13[[#This Row],[DonosnostKripto]])/2)</f>
        <v>9675.259635349068</v>
      </c>
    </row>
    <row r="165" spans="1:8" x14ac:dyDescent="0.25">
      <c r="A165" s="11">
        <v>45505</v>
      </c>
      <c r="B165" s="12">
        <v>2503.0300000000002</v>
      </c>
      <c r="C165" s="12">
        <v>58978.6</v>
      </c>
      <c r="D165" s="13">
        <f>YEAR(Tabela13[[#This Row],[Datum]])</f>
        <v>2024</v>
      </c>
      <c r="E165" s="13">
        <f>MONTH(Tabela13[[#This Row],[Datum]])</f>
        <v>8</v>
      </c>
      <c r="F165" s="14">
        <f>(B166-Tabela13[[#This Row],[Zlato]])/Tabela13[[#This Row],[Zlato]]</f>
        <v>5.2520345341445993E-2</v>
      </c>
      <c r="G165" s="14">
        <f>(C166-Tabela13[[#This Row],[Kriptovalute]])/Tabela13[[#This Row],[Kriptovalute]]</f>
        <v>7.3935291783799525E-2</v>
      </c>
      <c r="H165" s="31">
        <f>10000*(1+(Tabela13[[#This Row],[DonosnostZlato]]+Tabela13[[#This Row],[DonosnostKripto]])/2)</f>
        <v>10632.278185626226</v>
      </c>
    </row>
    <row r="166" spans="1:8" x14ac:dyDescent="0.25">
      <c r="A166" s="11">
        <v>45536</v>
      </c>
      <c r="B166" s="12">
        <v>2634.49</v>
      </c>
      <c r="C166" s="12">
        <v>63339.199999999997</v>
      </c>
      <c r="D166" s="13">
        <f>YEAR(Tabela13[[#This Row],[Datum]])</f>
        <v>2024</v>
      </c>
      <c r="E166" s="13">
        <f>MONTH(Tabela13[[#This Row],[Datum]])</f>
        <v>9</v>
      </c>
      <c r="F166" s="14">
        <f>(B167-Tabela13[[#This Row],[Zlato]])/Tabela13[[#This Row],[Zlato]]</f>
        <v>4.1491901658385649E-2</v>
      </c>
      <c r="G166" s="14">
        <f>(C167-Tabela13[[#This Row],[Kriptovalute]])/Tabela13[[#This Row],[Kriptovalute]]</f>
        <v>0.10960984666683517</v>
      </c>
      <c r="H166" s="31">
        <f>10000*(1+(Tabela13[[#This Row],[DonosnostZlato]]+Tabela13[[#This Row],[DonosnostKripto]])/2)</f>
        <v>10755.508741626105</v>
      </c>
    </row>
    <row r="167" spans="1:8" x14ac:dyDescent="0.25">
      <c r="A167" s="11">
        <v>45566</v>
      </c>
      <c r="B167" s="12">
        <v>2743.8</v>
      </c>
      <c r="C167" s="12">
        <v>70281.8</v>
      </c>
      <c r="D167" s="13">
        <f>YEAR(Tabela13[[#This Row],[Datum]])</f>
        <v>2024</v>
      </c>
      <c r="E167" s="13">
        <f>MONTH(Tabela13[[#This Row],[Datum]])</f>
        <v>10</v>
      </c>
      <c r="F167" s="14">
        <f>(B168-Tabela13[[#This Row],[Zlato]])/Tabela13[[#This Row],[Zlato]]</f>
        <v>-3.2892339091770535E-2</v>
      </c>
      <c r="G167" s="14">
        <f>(C168-Tabela13[[#This Row],[Kriptovalute]])/Tabela13[[#This Row],[Kriptovalute]]</f>
        <v>0.37170220455366815</v>
      </c>
      <c r="H167" s="31">
        <f>10000*(1+(Tabela13[[#This Row],[DonosnostZlato]]+Tabela13[[#This Row],[DonosnostKripto]])/2)</f>
        <v>11694.049327309489</v>
      </c>
    </row>
    <row r="168" spans="1:8" x14ac:dyDescent="0.25">
      <c r="A168" s="11">
        <v>45597</v>
      </c>
      <c r="B168" s="12">
        <v>2653.55</v>
      </c>
      <c r="C168" s="12">
        <v>96405.7</v>
      </c>
      <c r="D168" s="13">
        <f>YEAR(Tabela13[[#This Row],[Datum]])</f>
        <v>2024</v>
      </c>
      <c r="E168" s="13">
        <f>MONTH(Tabela13[[#This Row],[Datum]])</f>
        <v>11</v>
      </c>
      <c r="F168" s="14">
        <f>(B169-Tabela13[[#This Row],[Zlato]])/Tabela13[[#This Row],[Zlato]]</f>
        <v>-1.120762751785353E-2</v>
      </c>
      <c r="G168" s="14">
        <f>(C169-Tabela13[[#This Row],[Kriptovalute]])/Tabela13[[#This Row],[Kriptovalute]]</f>
        <v>-2.9547008112590853E-2</v>
      </c>
      <c r="H168" s="31">
        <f>10000*(1+(Tabela13[[#This Row],[DonosnostZlato]]+Tabela13[[#This Row],[DonosnostKripto]])/2)</f>
        <v>9796.2268218477784</v>
      </c>
    </row>
    <row r="169" spans="1:8" x14ac:dyDescent="0.25">
      <c r="A169" s="11">
        <v>45627</v>
      </c>
      <c r="B169" s="12">
        <v>2623.81</v>
      </c>
      <c r="C169" s="12">
        <v>93557.2</v>
      </c>
      <c r="D169" s="13">
        <f>YEAR(Tabela13[[#This Row],[Datum]])</f>
        <v>2024</v>
      </c>
      <c r="E169" s="13">
        <f>MONTH(Tabela13[[#This Row],[Datum]])</f>
        <v>12</v>
      </c>
      <c r="F169" s="14">
        <f>(B170-Tabela13[[#This Row],[Zlato]])/Tabela13[[#This Row],[Zlato]]</f>
        <v>6.7600169219569975E-2</v>
      </c>
      <c r="G169" s="14">
        <f>(C170-Tabela13[[#This Row],[Kriptovalute]])/Tabela13[[#This Row],[Kriptovalute]]</f>
        <v>1.0463117750424434E-2</v>
      </c>
      <c r="H169" s="31">
        <f>10000*(1+(Tabela13[[#This Row],[DonosnostZlato]]+Tabela13[[#This Row],[DonosnostKripto]])/2)</f>
        <v>10390.31643484997</v>
      </c>
    </row>
    <row r="170" spans="1:8" x14ac:dyDescent="0.25">
      <c r="A170" s="11">
        <v>45658</v>
      </c>
      <c r="B170" s="12">
        <v>2801.18</v>
      </c>
      <c r="C170" s="12">
        <v>94536.1</v>
      </c>
      <c r="D170" s="13">
        <f>YEAR(Tabela13[[#This Row],[Datum]])</f>
        <v>2025</v>
      </c>
      <c r="E170" s="13">
        <f>MONTH(Tabela13[[#This Row],[Datum]])</f>
        <v>1</v>
      </c>
      <c r="F170" s="14">
        <f>(B171-Tabela13[[#This Row],[Zlato]])/Tabela13[[#This Row],[Zlato]]</f>
        <v>2.0559192911558753E-2</v>
      </c>
      <c r="G170" s="14">
        <f>(C171-Tabela13[[#This Row],[Kriptovalute]])/Tabela13[[#This Row],[Kriptovalute]]</f>
        <v>-0.10741822436085272</v>
      </c>
      <c r="H170" s="31">
        <f>10000*(1+(Tabela13[[#This Row],[DonosnostZlato]]+Tabela13[[#This Row],[DonosnostKripto]])/2)</f>
        <v>9565.7048427535301</v>
      </c>
    </row>
    <row r="171" spans="1:8" x14ac:dyDescent="0.25">
      <c r="A171" s="11">
        <v>45689</v>
      </c>
      <c r="B171" s="12">
        <v>2858.77</v>
      </c>
      <c r="C171" s="12">
        <v>84381.2</v>
      </c>
      <c r="D171" s="13">
        <f>YEAR(Tabela13[[#This Row],[Datum]])</f>
        <v>2025</v>
      </c>
      <c r="E171" s="13">
        <f>MONTH(Tabela13[[#This Row],[Datum]])</f>
        <v>2</v>
      </c>
      <c r="F171" s="14">
        <f>(B172-Tabela13[[#This Row],[Zlato]])/Tabela13[[#This Row],[Zlato]]</f>
        <v>9.2550292608359508E-2</v>
      </c>
      <c r="G171" s="14">
        <f>(C172-Tabela13[[#This Row],[Kriptovalute]])/Tabela13[[#This Row],[Kriptovalute]]</f>
        <v>-2.1715737628760841E-2</v>
      </c>
      <c r="H171" s="31">
        <f>10000*(1+(Tabela13[[#This Row],[DonosnostZlato]]+Tabela13[[#This Row],[DonosnostKripto]])/2)</f>
        <v>10354.172774897994</v>
      </c>
    </row>
    <row r="172" spans="1:8" x14ac:dyDescent="0.25">
      <c r="A172" s="11">
        <v>45717</v>
      </c>
      <c r="B172" s="12">
        <v>3123.35</v>
      </c>
      <c r="C172" s="12">
        <v>82548.800000000003</v>
      </c>
      <c r="D172" s="13">
        <f>YEAR(Tabela13[[#This Row],[Datum]])</f>
        <v>2025</v>
      </c>
      <c r="E172" s="13">
        <f>MONTH(Tabela13[[#This Row],[Datum]])</f>
        <v>3</v>
      </c>
      <c r="F172" s="14">
        <f>(B173-Tabela13[[#This Row],[Zlato]])/Tabela13[[#This Row],[Zlato]]</f>
        <v>5.2904733699393358E-2</v>
      </c>
      <c r="G172" s="14">
        <f>(C173-Tabela13[[#This Row],[Kriptovalute]])/Tabela13[[#This Row],[Kriptovalute]]</f>
        <v>0.14095419921307142</v>
      </c>
      <c r="H172" s="31">
        <f>10000*(1+(Tabela13[[#This Row],[DonosnostZlato]]+Tabela13[[#This Row],[DonosnostKripto]])/2)</f>
        <v>10969.294664562323</v>
      </c>
    </row>
    <row r="173" spans="1:8" x14ac:dyDescent="0.25">
      <c r="A173" s="11">
        <v>45748</v>
      </c>
      <c r="B173" s="12">
        <v>3288.59</v>
      </c>
      <c r="C173" s="12">
        <v>94184.4</v>
      </c>
      <c r="D173" s="13">
        <f>YEAR(Tabela13[[#This Row],[Datum]])</f>
        <v>2025</v>
      </c>
      <c r="E173" s="13">
        <f>MONTH(Tabela13[[#This Row],[Datum]])</f>
        <v>4</v>
      </c>
      <c r="F173" s="14">
        <f>(B174-Tabela13[[#This Row],[Zlato]])/Tabela13[[#This Row],[Zlato]]</f>
        <v>2.4630616768887132E-4</v>
      </c>
      <c r="G173" s="14">
        <f>(C174-Tabela13[[#This Row],[Kriptovalute]])/Tabela13[[#This Row],[Kriptovalute]]</f>
        <v>0.11056608100704582</v>
      </c>
      <c r="H173" s="31">
        <f>10000*(1+(Tabela13[[#This Row],[DonosnostZlato]]+Tabela13[[#This Row],[DonosnostKripto]])/2)</f>
        <v>10554.061935873673</v>
      </c>
    </row>
    <row r="174" spans="1:8" x14ac:dyDescent="0.25">
      <c r="A174" s="11">
        <v>45778</v>
      </c>
      <c r="B174" s="12">
        <v>3289.4</v>
      </c>
      <c r="C174" s="12">
        <v>104598</v>
      </c>
      <c r="D174" s="13">
        <f>YEAR(Tabela13[[#This Row],[Datum]])</f>
        <v>2025</v>
      </c>
      <c r="E174" s="13">
        <f>MONTH(Tabela13[[#This Row],[Datum]])</f>
        <v>5</v>
      </c>
      <c r="F174" s="14">
        <f>(B175-Tabela13[[#This Row],[Zlato]])/Tabela13[[#This Row],[Zlato]]</f>
        <v>4.3442573113637636E-3</v>
      </c>
      <c r="G174" s="14">
        <f>(C175-Tabela13[[#This Row],[Kriptovalute]])/Tabela13[[#This Row],[Kriptovalute]]</f>
        <v>2.4599896747547811E-2</v>
      </c>
      <c r="H174" s="31">
        <f>10000*(1+(Tabela13[[#This Row],[DonosnostZlato]]+Tabela13[[#This Row],[DonosnostKripto]])/2)</f>
        <v>10144.720770294558</v>
      </c>
    </row>
    <row r="175" spans="1:8" x14ac:dyDescent="0.25">
      <c r="A175" s="11">
        <v>45809</v>
      </c>
      <c r="B175" s="12">
        <v>3303.69</v>
      </c>
      <c r="C175" s="12">
        <v>107171.1</v>
      </c>
      <c r="D175" s="13">
        <f>YEAR(Tabela13[[#This Row],[Datum]])</f>
        <v>2025</v>
      </c>
      <c r="E175" s="13">
        <f>MONTH(Tabela13[[#This Row],[Datum]])</f>
        <v>6</v>
      </c>
      <c r="F175" s="14">
        <f>(B176-Tabela13[[#This Row],[Zlato]])/Tabela13[[#This Row],[Zlato]]</f>
        <v>-4.0469898810118051E-3</v>
      </c>
      <c r="G175" s="14">
        <f>(C176-Tabela13[[#This Row],[Kriptovalute]])/Tabela13[[#This Row],[Kriptovalute]]</f>
        <v>8.0188595619527972E-2</v>
      </c>
      <c r="H175" s="31">
        <f>10000*(1+(Tabela13[[#This Row],[DonosnostZlato]]+Tabela13[[#This Row],[DonosnostKripto]])/2)</f>
        <v>10380.708028692579</v>
      </c>
    </row>
    <row r="176" spans="1:8" x14ac:dyDescent="0.25">
      <c r="A176" s="11">
        <v>45839</v>
      </c>
      <c r="B176" s="12">
        <v>3290.32</v>
      </c>
      <c r="C176" s="12">
        <v>115765</v>
      </c>
      <c r="D176" s="13">
        <f>YEAR(Tabela13[[#This Row],[Datum]])</f>
        <v>2025</v>
      </c>
      <c r="E176" s="13">
        <f>MONTH(Tabela13[[#This Row],[Datum]])</f>
        <v>7</v>
      </c>
      <c r="F176" s="14">
        <f>(B177-Tabela13[[#This Row],[Zlato]])/Tabela13[[#This Row],[Zlato]]</f>
        <v>4.792239052736507E-2</v>
      </c>
      <c r="G176" s="14">
        <f>(C177-Tabela13[[#This Row],[Kriptovalute]])/Tabela13[[#This Row],[Kriptovalute]]</f>
        <v>-6.511639960264326E-2</v>
      </c>
      <c r="H176" s="31">
        <f>10000*(1+(Tabela13[[#This Row],[DonosnostZlato]]+Tabela13[[#This Row],[DonosnostKripto]])/2)</f>
        <v>9914.0299546236092</v>
      </c>
    </row>
    <row r="177" spans="1:8" x14ac:dyDescent="0.25">
      <c r="A177" s="11">
        <v>45870</v>
      </c>
      <c r="B177" s="12">
        <v>3448</v>
      </c>
      <c r="C177" s="12">
        <v>108226.8</v>
      </c>
      <c r="D177" s="13">
        <f>YEAR(Tabela13[[#This Row],[Datum]])</f>
        <v>2025</v>
      </c>
      <c r="E177" s="13">
        <f>MONTH(Tabela13[[#This Row],[Datum]])</f>
        <v>8</v>
      </c>
      <c r="F177" s="14">
        <f>(B178-Tabela13[[#This Row],[Zlato]])/Tabela13[[#This Row],[Zlato]]</f>
        <v>0.11905742459396758</v>
      </c>
      <c r="G177" s="14">
        <f>(C178-Tabela13[[#This Row],[Kriptovalute]])/Tabela13[[#This Row],[Kriptovalute]]</f>
        <v>5.3791667128659418E-2</v>
      </c>
      <c r="H177" s="31">
        <f>10000*(1+(Tabela13[[#This Row],[DonosnostZlato]]+Tabela13[[#This Row],[DonosnostKripto]])/2)</f>
        <v>10864.245458613135</v>
      </c>
    </row>
    <row r="178" spans="1:8" x14ac:dyDescent="0.25">
      <c r="A178" s="11">
        <v>45901</v>
      </c>
      <c r="B178" s="12">
        <v>3858.51</v>
      </c>
      <c r="C178" s="12">
        <v>114048.5</v>
      </c>
      <c r="D178" s="13">
        <f>YEAR(Tabela13[[#This Row],[Datum]])</f>
        <v>2025</v>
      </c>
      <c r="E178" s="13">
        <f>MONTH(Tabela13[[#This Row],[Datum]])</f>
        <v>9</v>
      </c>
      <c r="F178" s="14">
        <f>(B179-Tabela13[[#This Row],[Zlato]])/Tabela13[[#This Row],[Zlato]]</f>
        <v>3.7260496927570483E-2</v>
      </c>
      <c r="G178" s="14">
        <f>(C179-Tabela13[[#This Row],[Kriptovalute]])/Tabela13[[#This Row],[Kriptovalute]]</f>
        <v>-3.8980784490808711E-2</v>
      </c>
      <c r="H178" s="31">
        <f>10000*(1+(Tabela13[[#This Row],[DonosnostZlato]]+Tabela13[[#This Row],[DonosnostKripto]])/2)</f>
        <v>9991.3985621838092</v>
      </c>
    </row>
    <row r="179" spans="1:8" x14ac:dyDescent="0.25">
      <c r="A179" s="11">
        <v>45931</v>
      </c>
      <c r="B179" s="12">
        <v>4002.28</v>
      </c>
      <c r="C179" s="12">
        <v>109602.8</v>
      </c>
      <c r="D179" s="13">
        <f>YEAR(Tabela13[[#This Row],[Datum]])</f>
        <v>2025</v>
      </c>
      <c r="E179" s="13">
        <f>MONTH(Tabela13[[#This Row],[Datum]])</f>
        <v>10</v>
      </c>
      <c r="F179" s="14">
        <f>(B180-Tabela13[[#This Row],[Zlato]])/Tabela13[[#This Row],[Zlato]]</f>
        <v>5.7054978662162539E-2</v>
      </c>
      <c r="G179" s="14">
        <f>(C180-Tabela13[[#This Row],[Kriptovalute]])/Tabela13[[#This Row],[Kriptovalute]]</f>
        <v>-0.17543894863999829</v>
      </c>
      <c r="H179" s="31">
        <f>10000*(1+(Tabela13[[#This Row],[DonosnostZlato]]+Tabela13[[#This Row],[DonosnostKripto]])/2)</f>
        <v>9408.0801501108217</v>
      </c>
    </row>
    <row r="180" spans="1:8" x14ac:dyDescent="0.25">
      <c r="A180" s="11">
        <v>45962</v>
      </c>
      <c r="B180" s="12">
        <v>4230.63</v>
      </c>
      <c r="C180" s="12">
        <v>90374.2</v>
      </c>
      <c r="D180" s="13">
        <f>YEAR(Tabela13[[#This Row],[Datum]])</f>
        <v>2025</v>
      </c>
      <c r="E180" s="13">
        <f>MONTH(Tabela13[[#This Row],[Datum]])</f>
        <v>11</v>
      </c>
      <c r="F180" s="14">
        <f>(B181-Tabela13[[#This Row],[Zlato]])/Tabela13[[#This Row],[Zlato]]</f>
        <v>1.9963929722050862E-2</v>
      </c>
      <c r="G180" s="14">
        <f>(C181-Tabela13[[#This Row],[Kriptovalute]])/Tabela13[[#This Row],[Kriptovalute]]</f>
        <v>-3.0556287081932677E-2</v>
      </c>
      <c r="H180" s="31">
        <f>10000*(1+(Tabela13[[#This Row],[DonosnostZlato]]+Tabela13[[#This Row],[DonosnostKripto]])/2)</f>
        <v>9947.0382132005907</v>
      </c>
    </row>
    <row r="181" spans="1:8" x14ac:dyDescent="0.25">
      <c r="A181" s="11">
        <v>45992</v>
      </c>
      <c r="B181" s="12">
        <v>4315.09</v>
      </c>
      <c r="C181" s="12">
        <v>87612.7</v>
      </c>
      <c r="D181" s="13">
        <f>YEAR(Tabela13[[#This Row],[Datum]])</f>
        <v>2025</v>
      </c>
      <c r="E181" s="13">
        <f>MONTH(Tabela13[[#This Row],[Datum]])</f>
        <v>12</v>
      </c>
      <c r="F181" s="14">
        <f>(B182-Tabela13[[#This Row],[Zlato]])/Tabela13[[#This Row],[Zlato]]</f>
        <v>0.12751993585301818</v>
      </c>
      <c r="G181" s="14">
        <f>(C182-Tabela13[[#This Row],[Kriptovalute]])/Tabela13[[#This Row],[Kriptovalute]]</f>
        <v>-0.10142593482451742</v>
      </c>
      <c r="H181" s="31">
        <f>10000*(1+(Tabela13[[#This Row],[DonosnostZlato]]+Tabela13[[#This Row],[DonosnostKripto]])/2)</f>
        <v>10130.470005142504</v>
      </c>
    </row>
    <row r="182" spans="1:8" x14ac:dyDescent="0.25">
      <c r="A182" s="11">
        <v>46023</v>
      </c>
      <c r="B182" s="12">
        <v>4865.3500000000004</v>
      </c>
      <c r="C182" s="12">
        <v>78726.5</v>
      </c>
      <c r="D182" s="13">
        <f>YEAR(Tabela13[[#This Row],[Datum]])</f>
        <v>2026</v>
      </c>
      <c r="E182" s="13">
        <f>MONTH(Tabela13[[#This Row],[Datum]])</f>
        <v>1</v>
      </c>
      <c r="F182" s="14">
        <f>(B183-Tabela13[[#This Row],[Zlato]])/Tabela13[[#This Row],[Zlato]]</f>
        <v>8.4793488649326204E-2</v>
      </c>
      <c r="G182" s="14">
        <f>(C183-Tabela13[[#This Row],[Kriptovalute]])/Tabela13[[#This Row],[Kriptovalute]]</f>
        <v>-0.14901589680730123</v>
      </c>
      <c r="H182" s="31">
        <f>10000*(1+(Tabela13[[#This Row],[DonosnostZlato]]+Tabela13[[#This Row],[DonosnostKripto]])/2)</f>
        <v>9678.8879592101257</v>
      </c>
    </row>
    <row r="183" spans="1:8" x14ac:dyDescent="0.25">
      <c r="A183" s="11">
        <v>46054</v>
      </c>
      <c r="B183" s="12">
        <v>5277.9</v>
      </c>
      <c r="C183" s="12">
        <v>66995</v>
      </c>
      <c r="D183" s="13">
        <f>YEAR(Tabela13[[#This Row],[Datum]])</f>
        <v>2026</v>
      </c>
      <c r="E183" s="13">
        <f>MONTH(Tabela13[[#This Row],[Datum]])</f>
        <v>2</v>
      </c>
      <c r="F183" s="14">
        <f>(B184-Tabela13[[#This Row],[Zlato]])/Tabela13[[#This Row],[Zlato]]</f>
        <v>-0.11479755205668911</v>
      </c>
      <c r="G183" s="14">
        <f>(C184-Tabela13[[#This Row],[Kriptovalute]])/Tabela13[[#This Row],[Kriptovalute]]</f>
        <v>1.9005895962385295E-2</v>
      </c>
      <c r="H183" s="31">
        <f>10000*(1+(Tabela13[[#This Row],[DonosnostZlato]]+Tabela13[[#This Row],[DonosnostKripto]])/2)</f>
        <v>9521.0417195284808</v>
      </c>
    </row>
    <row r="184" spans="1:8" x14ac:dyDescent="0.25">
      <c r="A184" s="11">
        <v>46082</v>
      </c>
      <c r="B184" s="12">
        <v>4672.01</v>
      </c>
      <c r="C184" s="12">
        <v>68268.3</v>
      </c>
      <c r="D184" s="13">
        <f>YEAR(Tabela13[[#This Row],[Datum]])</f>
        <v>2026</v>
      </c>
      <c r="E184" s="13">
        <f>MONTH(Tabela13[[#This Row],[Datum]])</f>
        <v>3</v>
      </c>
      <c r="F184" s="14">
        <f>(B185-Tabela13[[#This Row],[Zlato]])/Tabela13[[#This Row],[Zlato]]</f>
        <v>-1.0577888317876047E-2</v>
      </c>
      <c r="G184" s="14">
        <f>(C185-Tabela13[[#This Row],[Kriptovalute]])/Tabela13[[#This Row],[Kriptovalute]]</f>
        <v>0.11789219886828883</v>
      </c>
      <c r="H184" s="31">
        <f>10000*(1+(Tabela13[[#This Row],[DonosnostZlato]]+Tabela13[[#This Row],[DonosnostKripto]])/2)</f>
        <v>10536.571552752062</v>
      </c>
    </row>
    <row r="185" spans="1:8" x14ac:dyDescent="0.25">
      <c r="A185" s="11">
        <v>46113</v>
      </c>
      <c r="B185" s="12">
        <v>4622.59</v>
      </c>
      <c r="C185" s="12">
        <v>76316.600000000006</v>
      </c>
      <c r="D185" s="13">
        <f>YEAR(Tabela13[[#This Row],[Datum]])</f>
        <v>2026</v>
      </c>
      <c r="E185" s="13">
        <f>MONTH(Tabela13[[#This Row],[Datum]])</f>
        <v>4</v>
      </c>
      <c r="F185" s="14">
        <f>(B186-Tabela13[[#This Row],[Zlato]])/Tabela13[[#This Row],[Zlato]]</f>
        <v>-1.8024527375345791E-2</v>
      </c>
      <c r="G185" s="14">
        <f>(C186-Tabela13[[#This Row],[Kriptovalute]])/Tabela13[[#This Row],[Kriptovalute]]</f>
        <v>-3.482466462080349E-2</v>
      </c>
      <c r="H185" s="31">
        <f>10000*(1+(Tabela13[[#This Row],[DonosnostZlato]]+Tabela13[[#This Row],[DonosnostKripto]])/2)</f>
        <v>9735.7540400192538</v>
      </c>
    </row>
    <row r="186" spans="1:8" x14ac:dyDescent="0.25">
      <c r="A186" s="11">
        <v>46143</v>
      </c>
      <c r="B186" s="12">
        <v>4539.2700000000004</v>
      </c>
      <c r="C186" s="12">
        <v>73658.899999999994</v>
      </c>
      <c r="D186" s="13">
        <f>YEAR(Tabela13[[#This Row],[Datum]])</f>
        <v>2026</v>
      </c>
      <c r="E186" s="13">
        <f>MONTH(Tabela13[[#This Row],[Datum]])</f>
        <v>5</v>
      </c>
      <c r="F186" s="14">
        <f>(B187-Tabela13[[#This Row],[Zlato]])/Tabela13[[#This Row],[Zlato]]</f>
        <v>-0.11693289890224648</v>
      </c>
      <c r="G186" s="14">
        <f>(C187-Tabela13[[#This Row],[Kriptovalute]])/Tabela13[[#This Row],[Kriptovalute]]</f>
        <v>-0.20402286756929566</v>
      </c>
      <c r="H186" s="31">
        <f>10000*(1+(Tabela13[[#This Row],[DonosnostZlato]]+Tabela13[[#This Row],[DonosnostKripto]])/2)</f>
        <v>8395.2211676422903</v>
      </c>
    </row>
    <row r="187" spans="1:8" x14ac:dyDescent="0.25">
      <c r="A187" s="11">
        <v>46174</v>
      </c>
      <c r="B187" s="12">
        <v>4008.48</v>
      </c>
      <c r="C187" s="12">
        <v>58630.8</v>
      </c>
      <c r="D187" s="13">
        <f>YEAR(Tabela13[[#This Row],[Datum]])</f>
        <v>2026</v>
      </c>
      <c r="E187" s="13">
        <f>MONTH(Tabela13[[#This Row],[Datum]])</f>
        <v>6</v>
      </c>
      <c r="F187" s="14">
        <f>(B188-Tabela13[[#This Row],[Zlato]])/Tabela13[[#This Row],[Zlato]]</f>
        <v>8.5294176346146309E-3</v>
      </c>
      <c r="G187" s="14">
        <f>(C188-Tabela13[[#This Row],[Kriptovalute]])/Tabela13[[#This Row],[Kriptovalute]]</f>
        <v>7.2397101864548952E-2</v>
      </c>
      <c r="H187" s="31">
        <f>10000*(1+(Tabela13[[#This Row],[DonosnostZlato]]+Tabela13[[#This Row],[DonosnostKripto]])/2)</f>
        <v>10404.632597495818</v>
      </c>
    </row>
    <row r="188" spans="1:8" x14ac:dyDescent="0.25">
      <c r="A188" s="11">
        <v>46204</v>
      </c>
      <c r="B188" s="12">
        <v>4042.67</v>
      </c>
      <c r="C188" s="12">
        <v>62875.5</v>
      </c>
      <c r="D188" s="13">
        <f>YEAR(Tabela13[[#This Row],[Datum]])</f>
        <v>2026</v>
      </c>
      <c r="E188" s="13">
        <f>MONTH(Tabela13[[#This Row],[Datum]])</f>
        <v>7</v>
      </c>
      <c r="F188" s="14">
        <f>(B189-Tabela13[[#This Row],[Zlato]])/Tabela13[[#This Row],[Zlato]]</f>
        <v>0.10049051740557602</v>
      </c>
      <c r="G188" s="14">
        <f>(C189-Tabela13[[#This Row],[Kriptovalute]])/Tabela13[[#This Row],[Kriptovalute]]</f>
        <v>0.24961710046043376</v>
      </c>
      <c r="H188" s="31">
        <f>10000*(1+(Tabela13[[#This Row],[DonosnostZlato]]+Tabela13[[#This Row],[DonosnostKripto]])/2)</f>
        <v>11750.53808933005</v>
      </c>
    </row>
    <row r="189" spans="1:8" x14ac:dyDescent="0.25">
      <c r="A189" s="11">
        <v>46235</v>
      </c>
      <c r="B189" s="12">
        <v>4448.92</v>
      </c>
      <c r="C189" s="12">
        <v>78570.3</v>
      </c>
      <c r="D189" s="13">
        <f>YEAR(Tabela13[[#This Row],[Datum]])</f>
        <v>2026</v>
      </c>
      <c r="E189" s="13">
        <f>MONTH(Tabela13[[#This Row],[Datum]])</f>
        <v>8</v>
      </c>
      <c r="F189" s="14">
        <f>(B190-Tabela13[[#This Row],[Zlato]])/Tabela13[[#This Row],[Zlato]]</f>
        <v>-3.7130359727754268E-2</v>
      </c>
      <c r="G189" s="14">
        <f>(C190-Tabela13[[#This Row],[Kriptovalute]])/Tabela13[[#This Row],[Kriptovalute]]</f>
        <v>6.7965885328170966E-2</v>
      </c>
      <c r="H189" s="31">
        <f>10000*(1+(Tabela13[[#This Row],[DonosnostZlato]]+Tabela13[[#This Row],[DonosnostKripto]])/2)</f>
        <v>10154.177628002084</v>
      </c>
    </row>
    <row r="190" spans="1:8" x14ac:dyDescent="0.25">
      <c r="A190" s="11">
        <v>46266</v>
      </c>
      <c r="B190" s="12">
        <v>4283.7299999999996</v>
      </c>
      <c r="C190" s="12">
        <v>83910.399999999994</v>
      </c>
      <c r="D190" s="13">
        <f>YEAR(Tabela13[[#This Row],[Datum]])</f>
        <v>2026</v>
      </c>
      <c r="E190" s="13">
        <f>MONTH(Tabela13[[#This Row],[Datum]])</f>
        <v>9</v>
      </c>
      <c r="F190" s="14"/>
      <c r="G190" s="14"/>
      <c r="H190" s="3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77B97-7230-4FDC-80B0-FA25119E1C9D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069D3-26AC-4E45-AADE-700FACFDC0D7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4EC2E-8970-4F18-B63A-574AA9CB5EC4}">
  <dimension ref="B2:E20"/>
  <sheetViews>
    <sheetView workbookViewId="0"/>
  </sheetViews>
  <sheetFormatPr defaultRowHeight="15" x14ac:dyDescent="0.25"/>
  <cols>
    <col min="2" max="2" width="17" customWidth="1"/>
    <col min="3" max="5" width="16.85546875" customWidth="1"/>
  </cols>
  <sheetData>
    <row r="2" spans="2:5" x14ac:dyDescent="0.25">
      <c r="B2" s="24" t="s">
        <v>14</v>
      </c>
    </row>
    <row r="4" spans="2:5" x14ac:dyDescent="0.25">
      <c r="C4" s="26" t="s">
        <v>12</v>
      </c>
      <c r="D4" s="26" t="s">
        <v>13</v>
      </c>
    </row>
    <row r="5" spans="2:5" x14ac:dyDescent="0.25">
      <c r="B5" t="s">
        <v>11</v>
      </c>
      <c r="C5" s="23">
        <f>AVERAGE(Tabela13[DonosnostZlato])</f>
        <v>7.3697573786327252E-3</v>
      </c>
      <c r="D5" s="23">
        <f>MEDIAN(Tabela13[DonosnostZlato])</f>
        <v>1.5598839838954367E-3</v>
      </c>
    </row>
    <row r="6" spans="2:5" x14ac:dyDescent="0.25">
      <c r="B6" t="s">
        <v>18</v>
      </c>
      <c r="C6" s="23">
        <f>AVERAGE(Tabela13[DonosnostKripto])</f>
        <v>0.12202393803376703</v>
      </c>
      <c r="D6" s="23">
        <f>MEDIAN(Tabela13[DonosnostKripto])</f>
        <v>2.885627742156438E-2</v>
      </c>
    </row>
    <row r="8" spans="2:5" x14ac:dyDescent="0.25">
      <c r="B8" s="24" t="s">
        <v>15</v>
      </c>
    </row>
    <row r="10" spans="2:5" x14ac:dyDescent="0.25">
      <c r="C10" s="26" t="s">
        <v>16</v>
      </c>
      <c r="D10" s="26" t="s">
        <v>17</v>
      </c>
      <c r="E10" s="26" t="s">
        <v>22</v>
      </c>
    </row>
    <row r="11" spans="2:5" x14ac:dyDescent="0.25">
      <c r="B11" t="s">
        <v>11</v>
      </c>
      <c r="C11" s="23">
        <f>MIN(Tabela13[DonosnostZlato])</f>
        <v>-0.11693289890224648</v>
      </c>
      <c r="D11" s="23">
        <f>MAX(Tabela13[DonosnostZlato])</f>
        <v>0.12751993585301818</v>
      </c>
      <c r="E11" s="25">
        <f>D11-C11</f>
        <v>0.24445283475526466</v>
      </c>
    </row>
    <row r="12" spans="2:5" x14ac:dyDescent="0.25">
      <c r="B12" t="s">
        <v>18</v>
      </c>
      <c r="C12" s="23">
        <f>MIN(Tabela13[DonosnostKripto])</f>
        <v>-0.38868768640818063</v>
      </c>
      <c r="D12" s="23">
        <f>MAX(Tabela13[DonosnostKripto])</f>
        <v>4.7088068181818183</v>
      </c>
      <c r="E12" s="25">
        <f>D12-C12</f>
        <v>5.0974945045899993</v>
      </c>
    </row>
    <row r="14" spans="2:5" x14ac:dyDescent="0.25">
      <c r="C14" s="26" t="s">
        <v>19</v>
      </c>
      <c r="D14" s="26" t="s">
        <v>20</v>
      </c>
      <c r="E14" s="26" t="s">
        <v>23</v>
      </c>
    </row>
    <row r="15" spans="2:5" x14ac:dyDescent="0.25">
      <c r="B15" t="s">
        <v>11</v>
      </c>
      <c r="C15" s="23">
        <f>_xlfn.QUARTILE.EXC(Tabela13[DonosnostZlato],1)</f>
        <v>-2.3012642375453057E-2</v>
      </c>
      <c r="D15" s="23">
        <f>_xlfn.QUARTILE.EXC(Tabela13[DonosnostZlato],3)</f>
        <v>3.6228543904634938E-2</v>
      </c>
      <c r="E15" s="25">
        <f>D15-C15</f>
        <v>5.9241186280087996E-2</v>
      </c>
    </row>
    <row r="16" spans="2:5" x14ac:dyDescent="0.25">
      <c r="B16" t="s">
        <v>18</v>
      </c>
      <c r="C16" s="23">
        <f>_xlfn.QUARTILE.EXC(Tabela13[DonosnostKripto],1)</f>
        <v>-8.1095172649212843E-2</v>
      </c>
      <c r="D16" s="23">
        <f>_xlfn.QUARTILE.EXC(Tabela13[DonosnostKripto],3)</f>
        <v>0.20252896847502588</v>
      </c>
      <c r="E16" s="25">
        <f>D16-C16</f>
        <v>0.28362414112423873</v>
      </c>
    </row>
    <row r="18" spans="2:3" x14ac:dyDescent="0.25">
      <c r="C18" s="26" t="s">
        <v>21</v>
      </c>
    </row>
    <row r="19" spans="2:3" x14ac:dyDescent="0.25">
      <c r="B19" t="s">
        <v>11</v>
      </c>
      <c r="C19" s="23">
        <f>_xlfn.STDEV.P(Tabela13[DonosnostZlato])</f>
        <v>4.7877565759022966E-2</v>
      </c>
    </row>
    <row r="20" spans="2:3" x14ac:dyDescent="0.25">
      <c r="B20" t="s">
        <v>18</v>
      </c>
      <c r="C20" s="23">
        <f>_xlfn.STDEV.P(Tabela13[DonosnostKripto])</f>
        <v>0.50012908528009015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6560D-61CC-476C-B0CC-6E66D503FF6C}">
  <dimension ref="K2:N8"/>
  <sheetViews>
    <sheetView workbookViewId="0"/>
  </sheetViews>
  <sheetFormatPr defaultRowHeight="15" x14ac:dyDescent="0.25"/>
  <cols>
    <col min="11" max="13" width="16.85546875" customWidth="1"/>
  </cols>
  <sheetData>
    <row r="2" spans="11:14" x14ac:dyDescent="0.25">
      <c r="L2" s="26" t="s">
        <v>24</v>
      </c>
      <c r="M2" s="26" t="s">
        <v>25</v>
      </c>
      <c r="N2" s="21" t="s">
        <v>26</v>
      </c>
    </row>
    <row r="3" spans="11:14" x14ac:dyDescent="0.25">
      <c r="K3" t="s">
        <v>11</v>
      </c>
      <c r="L3" s="27">
        <f>COUNTIF(Tabela13[DonosnostZlato],"&gt;=0")</f>
        <v>98</v>
      </c>
      <c r="M3" s="27">
        <f>COUNTIF(Tabela13[DonosnostZlato],"&lt;0")</f>
        <v>90</v>
      </c>
      <c r="N3" s="28">
        <f>SUM(L3:M3)</f>
        <v>188</v>
      </c>
    </row>
    <row r="4" spans="11:14" x14ac:dyDescent="0.25">
      <c r="K4" t="s">
        <v>18</v>
      </c>
      <c r="L4" s="27">
        <f>COUNTIF(Tabela13[DonosnostKripto],"&gt;=0")</f>
        <v>109</v>
      </c>
      <c r="M4" s="27">
        <f>COUNTIF(Tabela13[DonosnostKripto],"&lt;0")</f>
        <v>79</v>
      </c>
      <c r="N4" s="28">
        <f>SUM(L4:M4)</f>
        <v>188</v>
      </c>
    </row>
    <row r="6" spans="11:14" x14ac:dyDescent="0.25">
      <c r="L6" s="26" t="s">
        <v>27</v>
      </c>
      <c r="M6" s="26" t="s">
        <v>28</v>
      </c>
    </row>
    <row r="7" spans="11:14" x14ac:dyDescent="0.25">
      <c r="K7" t="s">
        <v>11</v>
      </c>
      <c r="L7" s="22">
        <f>L3/N3</f>
        <v>0.52127659574468088</v>
      </c>
      <c r="M7" s="22">
        <f>M3/N3</f>
        <v>0.47872340425531917</v>
      </c>
    </row>
    <row r="8" spans="11:14" x14ac:dyDescent="0.25">
      <c r="K8" t="s">
        <v>18</v>
      </c>
      <c r="L8" s="22">
        <f>L4/N4</f>
        <v>0.57978723404255317</v>
      </c>
      <c r="M8" s="22">
        <f>M4/N4</f>
        <v>0.42021276595744683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B6BA8-E822-413F-A194-3E981916E2BE}">
  <dimension ref="B23:E39"/>
  <sheetViews>
    <sheetView workbookViewId="0"/>
  </sheetViews>
  <sheetFormatPr defaultRowHeight="15" x14ac:dyDescent="0.25"/>
  <cols>
    <col min="2" max="4" width="9.7109375" customWidth="1"/>
    <col min="5" max="5" width="26.5703125" customWidth="1"/>
  </cols>
  <sheetData>
    <row r="23" spans="2:5" x14ac:dyDescent="0.25">
      <c r="B23" s="24" t="s">
        <v>29</v>
      </c>
    </row>
    <row r="24" spans="2:5" x14ac:dyDescent="0.25">
      <c r="B24">
        <f>CORREL(analiza!F38:F190,analiza!G38:G190)</f>
        <v>5.1488837827686616E-2</v>
      </c>
    </row>
    <row r="26" spans="2:5" x14ac:dyDescent="0.25">
      <c r="D26" t="s">
        <v>43</v>
      </c>
    </row>
    <row r="27" spans="2:5" x14ac:dyDescent="0.25">
      <c r="B27" s="24" t="s">
        <v>8</v>
      </c>
      <c r="C27" s="24" t="s">
        <v>30</v>
      </c>
      <c r="D27" s="24" t="s">
        <v>3</v>
      </c>
      <c r="E27" s="24" t="s">
        <v>44</v>
      </c>
    </row>
    <row r="28" spans="2:5" x14ac:dyDescent="0.25">
      <c r="B28" t="s">
        <v>31</v>
      </c>
      <c r="C28">
        <v>1</v>
      </c>
      <c r="D28" s="23">
        <f>AVERAGEIF(Tabela13[Mesec],C28,Tabela13[DonosnostZlato])</f>
        <v>1.0159507270512659E-2</v>
      </c>
      <c r="E28" s="23">
        <f>AVERAGEIF(analiza!$E$38:$E$190,C28,analiza!$G$38:$G$190)</f>
        <v>6.7908210183778711E-2</v>
      </c>
    </row>
    <row r="29" spans="2:5" x14ac:dyDescent="0.25">
      <c r="B29" t="s">
        <v>32</v>
      </c>
      <c r="C29">
        <v>2</v>
      </c>
      <c r="D29" s="23">
        <f>AVERAGEIF(Tabela13[Mesec],C29,Tabela13[DonosnostZlato])</f>
        <v>4.7757599996369584E-3</v>
      </c>
      <c r="E29" s="23">
        <f>AVERAGEIF(analiza!$E$38:$E$190,C29,analiza!$G$38:$G$190)</f>
        <v>-1.2128196455007758E-2</v>
      </c>
    </row>
    <row r="30" spans="2:5" x14ac:dyDescent="0.25">
      <c r="B30" t="s">
        <v>33</v>
      </c>
      <c r="C30">
        <v>3</v>
      </c>
      <c r="D30" s="23">
        <f>AVERAGEIF(Tabela13[Mesec],C30,Tabela13[DonosnostZlato])</f>
        <v>1.4718476597491932E-2</v>
      </c>
      <c r="E30" s="23">
        <f>AVERAGEIF(analiza!$E$38:$E$190,C30,analiza!$G$38:$G$190)</f>
        <v>9.3910016214332453E-2</v>
      </c>
    </row>
    <row r="31" spans="2:5" x14ac:dyDescent="0.25">
      <c r="B31" t="s">
        <v>34</v>
      </c>
      <c r="C31">
        <v>4</v>
      </c>
      <c r="D31" s="23">
        <f>AVERAGEIF(Tabela13[Mesec],C31,Tabela13[DonosnostZlato])</f>
        <v>-1.0299763540409457E-2</v>
      </c>
      <c r="E31" s="23">
        <f>AVERAGEIF(analiza!$E$38:$E$190,C31,analiza!$G$38:$G$190)</f>
        <v>0.10709846385586706</v>
      </c>
    </row>
    <row r="32" spans="2:5" x14ac:dyDescent="0.25">
      <c r="B32" t="s">
        <v>35</v>
      </c>
      <c r="C32">
        <v>5</v>
      </c>
      <c r="D32" s="23">
        <f>AVERAGEIF(Tabela13[Mesec],C32,Tabela13[DonosnostZlato])</f>
        <v>-8.9346821613776883E-3</v>
      </c>
      <c r="E32" s="23">
        <f>AVERAGEIF(analiza!$E$38:$E$190,C32,analiza!$G$38:$G$190)</f>
        <v>1.7743410413470473E-3</v>
      </c>
    </row>
    <row r="33" spans="2:5" x14ac:dyDescent="0.25">
      <c r="B33" t="s">
        <v>36</v>
      </c>
      <c r="C33">
        <v>6</v>
      </c>
      <c r="D33" s="23">
        <f>AVERAGEIF(Tabela13[Mesec],C33,Tabela13[DonosnostZlato])</f>
        <v>1.7639469427879802E-2</v>
      </c>
      <c r="E33" s="23">
        <f>AVERAGEIF(analiza!$E$38:$E$190,C33,analiza!$G$38:$G$190)</f>
        <v>7.468520543817761E-2</v>
      </c>
    </row>
    <row r="34" spans="2:5" x14ac:dyDescent="0.25">
      <c r="B34" t="s">
        <v>37</v>
      </c>
      <c r="C34">
        <v>7</v>
      </c>
      <c r="D34" s="23">
        <f>AVERAGEIF(Tabela13[Mesec],C34,Tabela13[DonosnostZlato])</f>
        <v>2.8463930774738105E-2</v>
      </c>
      <c r="E34" s="23">
        <f>AVERAGEIF(analiza!$E$38:$E$190,C34,analiza!$G$38:$G$190)</f>
        <v>4.5473504044305927E-3</v>
      </c>
    </row>
    <row r="35" spans="2:5" x14ac:dyDescent="0.25">
      <c r="B35" t="s">
        <v>38</v>
      </c>
      <c r="C35">
        <v>8</v>
      </c>
      <c r="D35" s="23">
        <f>AVERAGEIF(Tabela13[Mesec],C35,Tabela13[DonosnostZlato])</f>
        <v>-1.6988493862132852E-2</v>
      </c>
      <c r="E35" s="23">
        <f>AVERAGEIF(analiza!$E$38:$E$190,C35,analiza!$G$38:$G$190)</f>
        <v>-2.4582460279513378E-2</v>
      </c>
    </row>
    <row r="36" spans="2:5" x14ac:dyDescent="0.25">
      <c r="B36" t="s">
        <v>39</v>
      </c>
      <c r="C36">
        <v>9</v>
      </c>
      <c r="D36" s="23">
        <f>AVERAGEIF(Tabela13[Mesec],C36,Tabela13[DonosnostZlato])</f>
        <v>1.1894778006189185E-2</v>
      </c>
      <c r="E36" s="23">
        <f>AVERAGEIF(analiza!$E$38:$E$190,C36,analiza!$G$38:$G$190)</f>
        <v>0.1643894697360512</v>
      </c>
    </row>
    <row r="37" spans="2:5" x14ac:dyDescent="0.25">
      <c r="B37" t="s">
        <v>40</v>
      </c>
      <c r="C37">
        <v>10</v>
      </c>
      <c r="D37" s="23">
        <f>AVERAGEIF(Tabela13[Mesec],C37,Tabela13[DonosnostZlato])</f>
        <v>-9.6247521829425971E-3</v>
      </c>
      <c r="E37" s="23">
        <f>AVERAGEIF(analiza!$E$38:$E$190,C37,analiza!$G$38:$G$190)</f>
        <v>7.2111514376023811E-2</v>
      </c>
    </row>
    <row r="38" spans="2:5" x14ac:dyDescent="0.25">
      <c r="B38" t="s">
        <v>41</v>
      </c>
      <c r="C38">
        <v>11</v>
      </c>
      <c r="D38" s="23">
        <f>AVERAGEIF(Tabela13[Mesec],C38,Tabela13[DonosnostZlato])</f>
        <v>5.8647666071957516E-3</v>
      </c>
      <c r="E38" s="23">
        <f>AVERAGEIF(analiza!$E$38:$E$190,C38,analiza!$G$38:$G$190)</f>
        <v>7.1217022518046388E-2</v>
      </c>
    </row>
    <row r="39" spans="2:5" x14ac:dyDescent="0.25">
      <c r="B39" t="s">
        <v>42</v>
      </c>
      <c r="C39">
        <v>12</v>
      </c>
      <c r="D39" s="23">
        <f>AVERAGEIF(Tabela13[Mesec],C39,Tabela13[DonosnostZlato])</f>
        <v>4.2063015241659035E-2</v>
      </c>
      <c r="E39" s="23">
        <f>AVERAGEIF(analiza!$E$38:$E$190,C39,analiza!$G$38:$G$190)</f>
        <v>-1.6078958761956506E-2</v>
      </c>
    </row>
  </sheetData>
  <phoneticPr fontId="10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11D35-7E2A-4CC3-A145-03790EB69F8A}">
  <dimension ref="B19:D27"/>
  <sheetViews>
    <sheetView workbookViewId="0"/>
  </sheetViews>
  <sheetFormatPr defaultRowHeight="15" x14ac:dyDescent="0.25"/>
  <cols>
    <col min="2" max="4" width="17" customWidth="1"/>
  </cols>
  <sheetData>
    <row r="19" spans="2:4" x14ac:dyDescent="0.25">
      <c r="B19" s="24" t="s">
        <v>14</v>
      </c>
    </row>
    <row r="21" spans="2:4" x14ac:dyDescent="0.25">
      <c r="C21" s="26" t="s">
        <v>12</v>
      </c>
      <c r="D21" s="26" t="s">
        <v>13</v>
      </c>
    </row>
    <row r="22" spans="2:4" x14ac:dyDescent="0.25">
      <c r="B22" t="s">
        <v>46</v>
      </c>
      <c r="C22" s="32">
        <f>AVERAGE(analiza!H122:H190)</f>
        <v>10205.145347554504</v>
      </c>
      <c r="D22" s="32">
        <f>MEDIAN(analiza!H122:H190)</f>
        <v>10137.595387718531</v>
      </c>
    </row>
    <row r="23" spans="2:4" x14ac:dyDescent="0.25">
      <c r="C23" s="23"/>
      <c r="D23" s="23"/>
    </row>
    <row r="24" spans="2:4" x14ac:dyDescent="0.25">
      <c r="B24" s="24" t="s">
        <v>15</v>
      </c>
      <c r="C24" s="23"/>
      <c r="D24" s="23"/>
    </row>
    <row r="26" spans="2:4" x14ac:dyDescent="0.25">
      <c r="C26" s="26" t="s">
        <v>21</v>
      </c>
    </row>
    <row r="27" spans="2:4" x14ac:dyDescent="0.25">
      <c r="B27" t="s">
        <v>46</v>
      </c>
      <c r="C27" s="32">
        <f>_xlfn.STDEV.P(analiza!H122:H190)</f>
        <v>885.025003946227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C0428-B98B-4C3C-A026-681A8231D6C2}">
  <dimension ref="B18:B20"/>
  <sheetViews>
    <sheetView workbookViewId="0"/>
  </sheetViews>
  <sheetFormatPr defaultRowHeight="15" x14ac:dyDescent="0.25"/>
  <cols>
    <col min="2" max="2" width="11.140625" bestFit="1" customWidth="1"/>
  </cols>
  <sheetData>
    <row r="18" spans="2:2" x14ac:dyDescent="0.25">
      <c r="B18" t="s">
        <v>47</v>
      </c>
    </row>
    <row r="20" spans="2:2" x14ac:dyDescent="0.25">
      <c r="B20" s="33">
        <f>_xlfn.FORECAST.LINEAR(analiza!A190,analiza!H122:H189,analiza!A122:A189)</f>
        <v>10250.924073203025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9</vt:i4>
      </vt:variant>
    </vt:vector>
  </HeadingPairs>
  <TitlesOfParts>
    <vt:vector size="9" baseType="lpstr">
      <vt:lpstr>podatki</vt:lpstr>
      <vt:lpstr>analiza</vt:lpstr>
      <vt:lpstr>b)</vt:lpstr>
      <vt:lpstr>c)</vt:lpstr>
      <vt:lpstr>d)+e)</vt:lpstr>
      <vt:lpstr>f)</vt:lpstr>
      <vt:lpstr>g)</vt:lpstr>
      <vt:lpstr>h)</vt:lpstr>
      <vt:lpstr>i)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Toman, Aleš</dc:creator>
  <cp:lastModifiedBy>Toman, Aleš</cp:lastModifiedBy>
  <dcterms:created xsi:type="dcterms:W3CDTF">2026-09-23T17:15:19Z</dcterms:created>
  <dcterms:modified xsi:type="dcterms:W3CDTF">2026-10-19T18:34:02Z</dcterms:modified>
</cp:coreProperties>
</file>